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5"/>
  </bookViews>
  <sheets>
    <sheet name="spoglio" sheetId="1" r:id="rId1"/>
    <sheet name="PREFERENZE lista n.1" sheetId="2" r:id="rId2"/>
    <sheet name="PREFERENZE lista n.2" sheetId="3" r:id="rId3"/>
    <sheet name="PREFERENZE lista n.3" sheetId="4" r:id="rId4"/>
    <sheet name="PREFERENZE lista n.4" sheetId="5" r:id="rId5"/>
    <sheet name="PREFERENZE lista n.5" sheetId="6" r:id="rId6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<sst xmlns="http://schemas.openxmlformats.org/spreadsheetml/2006/main" count="173" uniqueCount="111">
  <si>
    <t>COMUNE DI COLLEPASSO</t>
  </si>
  <si>
    <t>TOTALI</t>
  </si>
  <si>
    <t>SEZIONI</t>
  </si>
  <si>
    <t>NUMERO D'ORDINE DEI CANDIDATI</t>
  </si>
  <si>
    <t>SEZIONI ELETTORALI</t>
  </si>
  <si>
    <t>RILEVAZIONI</t>
  </si>
  <si>
    <t>M</t>
  </si>
  <si>
    <t>F</t>
  </si>
  <si>
    <t>T</t>
  </si>
  <si>
    <t>Tot.</t>
  </si>
  <si>
    <t>SPOGLIO</t>
  </si>
  <si>
    <t>BIANCHE</t>
  </si>
  <si>
    <t>NULLE</t>
  </si>
  <si>
    <t>VOTI VALIDI</t>
  </si>
  <si>
    <t>RISULTATO DELLO SPOGLIO</t>
  </si>
  <si>
    <t>%</t>
  </si>
  <si>
    <t>LISTA N.1</t>
  </si>
  <si>
    <t>LISTA N.2</t>
  </si>
  <si>
    <t>LISTA N.3</t>
  </si>
  <si>
    <t>LISTA N.4</t>
  </si>
  <si>
    <r>
      <t>ELETTORI ISCRITTI</t>
    </r>
    <r>
      <rPr>
        <sz val="8"/>
        <rFont val="Arial"/>
        <family val="2"/>
      </rPr>
      <t xml:space="preserve">         </t>
    </r>
  </si>
  <si>
    <t>ORDINE DI PREFERENZE</t>
  </si>
  <si>
    <t>Provincia di Lecce</t>
  </si>
  <si>
    <t>Servizio Elettorale</t>
  </si>
  <si>
    <t>cifra ind.</t>
  </si>
  <si>
    <t>CIFRA INDIVIDUALE</t>
  </si>
  <si>
    <t xml:space="preserve">Voti di Lista : </t>
  </si>
  <si>
    <t>Ufficio Elettorale</t>
  </si>
  <si>
    <t xml:space="preserve">   Voti di preferenza ai candidati della lista N. 2 </t>
  </si>
  <si>
    <t xml:space="preserve">   Voti di preferenza ai candidati della lista N. 3 </t>
  </si>
  <si>
    <t xml:space="preserve">   Voti di preferenza ai candidati della lista N. 4</t>
  </si>
  <si>
    <t>ELEZIONI AMMINISTRATIVE DEL 5 GIUGNO 2016</t>
  </si>
  <si>
    <t>ORE 19:00</t>
  </si>
  <si>
    <t>ORE 12:00</t>
  </si>
  <si>
    <t xml:space="preserve"> ORE 23:00</t>
  </si>
  <si>
    <t>TOTALE VOTANTI</t>
  </si>
  <si>
    <t>TOTALE RISCONTRO</t>
  </si>
  <si>
    <t>ELEZIONI AMMINISTRATIVE DEL  5 GIUGNO 2016</t>
  </si>
  <si>
    <t>LISTA N.5</t>
  </si>
  <si>
    <t xml:space="preserve">   Voti di preferenza ai candidati della lista N. 5</t>
  </si>
  <si>
    <t>ANTONIO ROBERTO BRIGANTE</t>
  </si>
  <si>
    <t>ROBERTO CONTINI</t>
  </si>
  <si>
    <t>LUIGI FELLINE</t>
  </si>
  <si>
    <t>MARIA ROSA GRASSO</t>
  </si>
  <si>
    <t>GABRIELLA MARRA</t>
  </si>
  <si>
    <t>GIOVANNI MONTAGNA</t>
  </si>
  <si>
    <t>GIANCARLO PASANISI</t>
  </si>
  <si>
    <t>GIUSEPPE PERRONE</t>
  </si>
  <si>
    <t>ADDOLORATA RIA detta Ada</t>
  </si>
  <si>
    <t>GIORGIO MASTRIA GIANFREDA detto Gino</t>
  </si>
  <si>
    <t>GABRIELLA RIGLIACO</t>
  </si>
  <si>
    <t>MASSIMO SABATO</t>
  </si>
  <si>
    <t>Candidato SINDACO - PAOLO MENOZZI</t>
  </si>
  <si>
    <t>MATTIA BUONO</t>
  </si>
  <si>
    <t>EMANUELA CATALDO</t>
  </si>
  <si>
    <t>LUIGI FRASSANITO</t>
  </si>
  <si>
    <t>LUIGI LOCAPUTO detto Gino</t>
  </si>
  <si>
    <t>CLAUDIO MALERBA</t>
  </si>
  <si>
    <t>MARIO MELE</t>
  </si>
  <si>
    <t>BETARICE PICCINNO</t>
  </si>
  <si>
    <t>LUCA RISI</t>
  </si>
  <si>
    <t>SALVATORE LUIGI ROMANO</t>
  </si>
  <si>
    <t>LETIZIA SICURO</t>
  </si>
  <si>
    <t>MARIA RITA VERDUCCI</t>
  </si>
  <si>
    <t>Candidato SINDACO - PANTALEO GIANFREDA</t>
  </si>
  <si>
    <t>Candidato SINDACO - ANTONIO LUCIO RUSSO</t>
  </si>
  <si>
    <t>LUIGI DE CARLO</t>
  </si>
  <si>
    <t>ANTONIO BRAJ</t>
  </si>
  <si>
    <t>SIMONE TUNDO</t>
  </si>
  <si>
    <t>ALESSIO SERRA</t>
  </si>
  <si>
    <t>CRISTINA CALVI</t>
  </si>
  <si>
    <t>NANCY NEGRO</t>
  </si>
  <si>
    <t>SOLIDEA LA ROCCA</t>
  </si>
  <si>
    <t>GIUSEPPE GIANNINI</t>
  </si>
  <si>
    <t>Candidato SINDACO - SALVATORE PERRONE</t>
  </si>
  <si>
    <t>ANNAELISA COSTA</t>
  </si>
  <si>
    <t>MANUELA DE PREZZO</t>
  </si>
  <si>
    <t>VINCENZO LONGO</t>
  </si>
  <si>
    <t>LEONARDO MALERBA</t>
  </si>
  <si>
    <t>FABRIZIO MANGIA</t>
  </si>
  <si>
    <t>CARLO MARRA</t>
  </si>
  <si>
    <t>MAURIZIO POTENZA</t>
  </si>
  <si>
    <t>ROCCO ANTONIO RESTA</t>
  </si>
  <si>
    <t>MARTA ROSSETTI</t>
  </si>
  <si>
    <t>MARIA ROSARIA SEDILE</t>
  </si>
  <si>
    <t>ROCCO SINDACO</t>
  </si>
  <si>
    <t>MARIO SPECCHIARELLI</t>
  </si>
  <si>
    <t>Candidato SINDACO - ALFREDO GIANFREDA</t>
  </si>
  <si>
    <t>VITO PERRONE</t>
  </si>
  <si>
    <t>GIUSEPPE CASTELLANA</t>
  </si>
  <si>
    <t>ANGELICA DE SIMONE</t>
  </si>
  <si>
    <t>PASQUALE DE SIMONE</t>
  </si>
  <si>
    <t>ORONZO GIANFREDA</t>
  </si>
  <si>
    <t>FRANCESCO GIURI</t>
  </si>
  <si>
    <t>MARIANNA GRECO</t>
  </si>
  <si>
    <t>FEDERICO MALERBA</t>
  </si>
  <si>
    <t>FABIO MARRA</t>
  </si>
  <si>
    <t>MONICA MARRA</t>
  </si>
  <si>
    <t>MASSIMILIANO PISCOPO</t>
  </si>
  <si>
    <t>CONTESTATE E NON ASSEGNATE</t>
  </si>
  <si>
    <t>PAOLO MENOZZI          "Alleanza per Collepasso"</t>
  </si>
  <si>
    <t>PANTALEO GIANFREDA      "Bene in Comune"</t>
  </si>
  <si>
    <t>ANTONIO LUCIO RUSSO   "Collepasso Nuova"</t>
  </si>
  <si>
    <t>SALVATORE PERRONE    "Forza Collepasso"</t>
  </si>
  <si>
    <t>ALFREDO GIANFREDA    "Insieme ai Cittadini"</t>
  </si>
  <si>
    <t>ANGELICA SCOLLATO</t>
  </si>
  <si>
    <t>MAURO ANTONIO CHIRIZZI</t>
  </si>
  <si>
    <t>GIUSEPPE MANGIA</t>
  </si>
  <si>
    <t>LUIGI LOCAPUTO</t>
  </si>
  <si>
    <t>CRISTIAN CALVI</t>
  </si>
  <si>
    <t xml:space="preserve">   Voti di preferenza ai candidati della lista N. 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</si>
</sst>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0_-;\-* #,##0.00_-;_-* &quot;-&quot;_-;_-@_-"/>
    <numFmt numFmtId="175" formatCode="&quot;Attivo&quot;;&quot;Attivo&quot;;&quot;Inattivo&quot;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#,##0.0"/>
  </numFmts>
  <fonts count="8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9"/>
      <name val="Arial"/>
      <family val="2"/>
    </font>
    <font>
      <sz val="9"/>
      <name val="Calibri"/>
      <family val="2"/>
    </font>
    <font>
      <sz val="6"/>
      <name val="Arial"/>
      <family val="2"/>
    </font>
    <font>
      <u val="single"/>
      <sz val="1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9"/>
      <color indexed="30"/>
      <name val="Arial"/>
      <family val="2"/>
    </font>
    <font>
      <sz val="8"/>
      <color indexed="6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4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  <font>
      <sz val="8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hair"/>
      <right style="hair"/>
      <top style="double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double"/>
    </border>
    <border>
      <left style="hair"/>
      <right style="double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0" fontId="70" fillId="20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textRotation="90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41" fontId="10" fillId="0" borderId="14" xfId="46" applyFont="1" applyFill="1" applyBorder="1" applyAlignment="1" applyProtection="1">
      <alignment horizontal="right"/>
      <protection locked="0"/>
    </xf>
    <xf numFmtId="41" fontId="15" fillId="0" borderId="15" xfId="46" applyFont="1" applyFill="1" applyBorder="1" applyAlignment="1" applyProtection="1">
      <alignment/>
      <protection locked="0"/>
    </xf>
    <xf numFmtId="41" fontId="15" fillId="0" borderId="16" xfId="46" applyFont="1" applyFill="1" applyBorder="1" applyAlignment="1" applyProtection="1">
      <alignment/>
      <protection locked="0"/>
    </xf>
    <xf numFmtId="41" fontId="15" fillId="0" borderId="14" xfId="46" applyFont="1" applyFill="1" applyBorder="1" applyAlignment="1" applyProtection="1">
      <alignment/>
      <protection locked="0"/>
    </xf>
    <xf numFmtId="41" fontId="15" fillId="0" borderId="17" xfId="46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horizontal="center"/>
    </xf>
    <xf numFmtId="41" fontId="10" fillId="0" borderId="19" xfId="46" applyFont="1" applyFill="1" applyBorder="1" applyAlignment="1" applyProtection="1">
      <alignment horizontal="right"/>
      <protection locked="0"/>
    </xf>
    <xf numFmtId="41" fontId="15" fillId="0" borderId="20" xfId="46" applyFont="1" applyFill="1" applyBorder="1" applyAlignment="1" applyProtection="1">
      <alignment/>
      <protection locked="0"/>
    </xf>
    <xf numFmtId="41" fontId="15" fillId="0" borderId="21" xfId="46" applyFont="1" applyFill="1" applyBorder="1" applyAlignment="1" applyProtection="1">
      <alignment/>
      <protection locked="0"/>
    </xf>
    <xf numFmtId="41" fontId="15" fillId="0" borderId="19" xfId="46" applyFont="1" applyFill="1" applyBorder="1" applyAlignment="1" applyProtection="1">
      <alignment/>
      <protection locked="0"/>
    </xf>
    <xf numFmtId="41" fontId="15" fillId="0" borderId="22" xfId="46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 horizontal="center"/>
    </xf>
    <xf numFmtId="41" fontId="15" fillId="0" borderId="24" xfId="46" applyFont="1" applyFill="1" applyBorder="1" applyAlignment="1" applyProtection="1">
      <alignment/>
      <protection locked="0"/>
    </xf>
    <xf numFmtId="41" fontId="15" fillId="0" borderId="25" xfId="46" applyFont="1" applyFill="1" applyBorder="1" applyAlignment="1" applyProtection="1">
      <alignment/>
      <protection locked="0"/>
    </xf>
    <xf numFmtId="41" fontId="15" fillId="0" borderId="26" xfId="46" applyFont="1" applyFill="1" applyBorder="1" applyAlignment="1" applyProtection="1">
      <alignment/>
      <protection locked="0"/>
    </xf>
    <xf numFmtId="41" fontId="15" fillId="0" borderId="27" xfId="46" applyFont="1" applyFill="1" applyBorder="1" applyAlignment="1" applyProtection="1">
      <alignment/>
      <protection locked="0"/>
    </xf>
    <xf numFmtId="0" fontId="17" fillId="0" borderId="28" xfId="0" applyFont="1" applyFill="1" applyBorder="1" applyAlignment="1">
      <alignment horizontal="center"/>
    </xf>
    <xf numFmtId="41" fontId="10" fillId="0" borderId="29" xfId="46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41" fontId="0" fillId="0" borderId="0" xfId="46" applyFont="1" applyFill="1" applyAlignment="1">
      <alignment/>
    </xf>
    <xf numFmtId="41" fontId="0" fillId="0" borderId="0" xfId="46" applyFont="1" applyFill="1" applyAlignment="1" applyProtection="1">
      <alignment/>
      <protection hidden="1"/>
    </xf>
    <xf numFmtId="9" fontId="0" fillId="0" borderId="0" xfId="50" applyFont="1" applyFill="1" applyBorder="1" applyAlignment="1" applyProtection="1">
      <alignment horizontal="center"/>
      <protection hidden="1"/>
    </xf>
    <xf numFmtId="174" fontId="8" fillId="0" borderId="29" xfId="46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>
      <alignment horizontal="center"/>
    </xf>
    <xf numFmtId="0" fontId="2" fillId="0" borderId="30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19" fillId="0" borderId="0" xfId="0" applyFont="1" applyAlignment="1">
      <alignment vertic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30" xfId="0" applyFill="1" applyBorder="1" applyAlignment="1">
      <alignment/>
    </xf>
    <xf numFmtId="0" fontId="2" fillId="33" borderId="30" xfId="0" applyFont="1" applyFill="1" applyBorder="1" applyAlignment="1">
      <alignment horizontal="center" vertical="center" textRotation="90"/>
    </xf>
    <xf numFmtId="0" fontId="20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43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2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8" fillId="0" borderId="43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textRotation="90"/>
    </xf>
    <xf numFmtId="0" fontId="8" fillId="0" borderId="46" xfId="0" applyFont="1" applyFill="1" applyBorder="1" applyAlignment="1">
      <alignment horizontal="center"/>
    </xf>
    <xf numFmtId="178" fontId="28" fillId="0" borderId="12" xfId="45" applyNumberFormat="1" applyFont="1" applyBorder="1" applyAlignment="1">
      <alignment horizontal="center"/>
    </xf>
    <xf numFmtId="178" fontId="28" fillId="0" borderId="21" xfId="45" applyNumberFormat="1" applyFont="1" applyBorder="1" applyAlignment="1">
      <alignment horizontal="center"/>
    </xf>
    <xf numFmtId="178" fontId="28" fillId="0" borderId="44" xfId="45" applyNumberFormat="1" applyFont="1" applyBorder="1" applyAlignment="1">
      <alignment horizontal="center"/>
    </xf>
    <xf numFmtId="178" fontId="28" fillId="0" borderId="43" xfId="45" applyNumberFormat="1" applyFont="1" applyBorder="1" applyAlignment="1">
      <alignment horizontal="center"/>
    </xf>
    <xf numFmtId="178" fontId="8" fillId="0" borderId="43" xfId="45" applyNumberFormat="1" applyFont="1" applyBorder="1" applyAlignment="1">
      <alignment horizontal="center" vertical="center"/>
    </xf>
    <xf numFmtId="1" fontId="20" fillId="0" borderId="35" xfId="0" applyNumberFormat="1" applyFont="1" applyBorder="1" applyAlignment="1">
      <alignment/>
    </xf>
    <xf numFmtId="1" fontId="20" fillId="0" borderId="38" xfId="0" applyNumberFormat="1" applyFont="1" applyBorder="1" applyAlignment="1">
      <alignment/>
    </xf>
    <xf numFmtId="37" fontId="10" fillId="0" borderId="46" xfId="45" applyNumberFormat="1" applyFont="1" applyBorder="1" applyAlignment="1">
      <alignment horizontal="center"/>
    </xf>
    <xf numFmtId="37" fontId="10" fillId="0" borderId="21" xfId="45" applyNumberFormat="1" applyFont="1" applyBorder="1" applyAlignment="1">
      <alignment horizontal="center"/>
    </xf>
    <xf numFmtId="3" fontId="10" fillId="0" borderId="46" xfId="45" applyNumberFormat="1" applyFont="1" applyBorder="1" applyAlignment="1">
      <alignment horizontal="center"/>
    </xf>
    <xf numFmtId="3" fontId="10" fillId="0" borderId="21" xfId="45" applyNumberFormat="1" applyFont="1" applyBorder="1" applyAlignment="1">
      <alignment horizontal="center"/>
    </xf>
    <xf numFmtId="3" fontId="32" fillId="0" borderId="21" xfId="45" applyNumberFormat="1" applyFont="1" applyBorder="1" applyAlignment="1">
      <alignment horizontal="center" vertical="center"/>
    </xf>
    <xf numFmtId="3" fontId="32" fillId="0" borderId="44" xfId="45" applyNumberFormat="1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47" xfId="0" applyFont="1" applyBorder="1" applyAlignment="1">
      <alignment/>
    </xf>
    <xf numFmtId="37" fontId="10" fillId="0" borderId="21" xfId="45" applyNumberFormat="1" applyFont="1" applyBorder="1" applyAlignment="1">
      <alignment horizontal="center" vertical="center"/>
    </xf>
    <xf numFmtId="37" fontId="10" fillId="0" borderId="44" xfId="45" applyNumberFormat="1" applyFont="1" applyBorder="1" applyAlignment="1">
      <alignment horizontal="center" vertical="center"/>
    </xf>
    <xf numFmtId="43" fontId="10" fillId="0" borderId="21" xfId="45" applyFont="1" applyBorder="1" applyAlignment="1">
      <alignment horizontal="center" vertical="center"/>
    </xf>
    <xf numFmtId="43" fontId="10" fillId="0" borderId="44" xfId="45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1" fillId="0" borderId="38" xfId="0" applyFont="1" applyBorder="1" applyAlignment="1">
      <alignment/>
    </xf>
    <xf numFmtId="0" fontId="21" fillId="0" borderId="47" xfId="0" applyFont="1" applyBorder="1" applyAlignment="1">
      <alignment/>
    </xf>
    <xf numFmtId="1" fontId="21" fillId="0" borderId="38" xfId="0" applyNumberFormat="1" applyFont="1" applyBorder="1" applyAlignment="1">
      <alignment/>
    </xf>
    <xf numFmtId="1" fontId="21" fillId="0" borderId="0" xfId="0" applyNumberFormat="1" applyFont="1" applyAlignment="1">
      <alignment/>
    </xf>
    <xf numFmtId="1" fontId="21" fillId="0" borderId="47" xfId="0" applyNumberFormat="1" applyFont="1" applyBorder="1" applyAlignment="1">
      <alignment/>
    </xf>
    <xf numFmtId="41" fontId="10" fillId="0" borderId="48" xfId="46" applyFont="1" applyFill="1" applyBorder="1" applyAlignment="1" applyProtection="1">
      <alignment horizontal="right"/>
      <protection hidden="1"/>
    </xf>
    <xf numFmtId="0" fontId="24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41" fontId="10" fillId="0" borderId="49" xfId="46" applyFont="1" applyFill="1" applyBorder="1" applyAlignment="1" applyProtection="1">
      <alignment horizontal="right"/>
      <protection locked="0"/>
    </xf>
    <xf numFmtId="41" fontId="10" fillId="0" borderId="38" xfId="46" applyFont="1" applyFill="1" applyBorder="1" applyAlignment="1" applyProtection="1">
      <alignment horizontal="right"/>
      <protection locked="0"/>
    </xf>
    <xf numFmtId="41" fontId="10" fillId="0" borderId="50" xfId="46" applyFont="1" applyFill="1" applyBorder="1" applyAlignment="1" applyProtection="1">
      <alignment horizontal="right"/>
      <protection locked="0"/>
    </xf>
    <xf numFmtId="174" fontId="8" fillId="0" borderId="48" xfId="46" applyNumberFormat="1" applyFont="1" applyFill="1" applyBorder="1" applyAlignment="1" applyProtection="1">
      <alignment horizontal="right"/>
      <protection hidden="1"/>
    </xf>
    <xf numFmtId="41" fontId="10" fillId="0" borderId="51" xfId="46" applyFont="1" applyFill="1" applyBorder="1" applyAlignment="1" applyProtection="1">
      <alignment/>
      <protection hidden="1"/>
    </xf>
    <xf numFmtId="41" fontId="10" fillId="0" borderId="48" xfId="46" applyFont="1" applyFill="1" applyBorder="1" applyAlignment="1" applyProtection="1">
      <alignment/>
      <protection hidden="1"/>
    </xf>
    <xf numFmtId="0" fontId="19" fillId="0" borderId="52" xfId="0" applyFont="1" applyBorder="1" applyAlignment="1">
      <alignment horizontal="left" vertical="center"/>
    </xf>
    <xf numFmtId="3" fontId="27" fillId="0" borderId="43" xfId="0" applyNumberFormat="1" applyFont="1" applyFill="1" applyBorder="1" applyAlignment="1">
      <alignment horizontal="center"/>
    </xf>
    <xf numFmtId="3" fontId="27" fillId="0" borderId="43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45" applyNumberFormat="1" applyFont="1" applyBorder="1" applyAlignment="1">
      <alignment horizontal="center" vertical="center"/>
    </xf>
    <xf numFmtId="3" fontId="18" fillId="0" borderId="53" xfId="46" applyNumberFormat="1" applyFont="1" applyFill="1" applyBorder="1" applyAlignment="1" applyProtection="1">
      <alignment/>
      <protection hidden="1"/>
    </xf>
    <xf numFmtId="3" fontId="18" fillId="0" borderId="54" xfId="46" applyNumberFormat="1" applyFont="1" applyFill="1" applyBorder="1" applyAlignment="1" applyProtection="1">
      <alignment/>
      <protection hidden="1"/>
    </xf>
    <xf numFmtId="3" fontId="18" fillId="0" borderId="55" xfId="46" applyNumberFormat="1" applyFont="1" applyFill="1" applyBorder="1" applyAlignment="1" applyProtection="1">
      <alignment/>
      <protection hidden="1"/>
    </xf>
    <xf numFmtId="3" fontId="18" fillId="0" borderId="56" xfId="46" applyNumberFormat="1" applyFont="1" applyFill="1" applyBorder="1" applyAlignment="1" applyProtection="1">
      <alignment/>
      <protection hidden="1"/>
    </xf>
    <xf numFmtId="176" fontId="10" fillId="0" borderId="46" xfId="45" applyNumberFormat="1" applyFont="1" applyBorder="1" applyAlignment="1">
      <alignment horizontal="center"/>
    </xf>
    <xf numFmtId="176" fontId="10" fillId="0" borderId="21" xfId="45" applyNumberFormat="1" applyFont="1" applyBorder="1" applyAlignment="1">
      <alignment horizontal="center"/>
    </xf>
    <xf numFmtId="176" fontId="10" fillId="0" borderId="21" xfId="45" applyNumberFormat="1" applyFont="1" applyBorder="1" applyAlignment="1">
      <alignment horizontal="center" vertical="center"/>
    </xf>
    <xf numFmtId="176" fontId="10" fillId="0" borderId="44" xfId="45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textRotation="90"/>
    </xf>
    <xf numFmtId="41" fontId="80" fillId="0" borderId="14" xfId="46" applyFont="1" applyFill="1" applyBorder="1" applyAlignment="1">
      <alignment/>
    </xf>
    <xf numFmtId="41" fontId="80" fillId="0" borderId="19" xfId="46" applyFont="1" applyFill="1" applyBorder="1" applyAlignment="1">
      <alignment/>
    </xf>
    <xf numFmtId="41" fontId="80" fillId="0" borderId="26" xfId="46" applyFont="1" applyFill="1" applyBorder="1" applyAlignment="1">
      <alignment/>
    </xf>
    <xf numFmtId="41" fontId="80" fillId="0" borderId="55" xfId="46" applyFont="1" applyFill="1" applyBorder="1" applyAlignment="1" applyProtection="1">
      <alignment/>
      <protection hidden="1"/>
    </xf>
    <xf numFmtId="41" fontId="81" fillId="0" borderId="17" xfId="46" applyFont="1" applyFill="1" applyBorder="1" applyAlignment="1">
      <alignment/>
    </xf>
    <xf numFmtId="41" fontId="81" fillId="0" borderId="22" xfId="46" applyFont="1" applyFill="1" applyBorder="1" applyAlignment="1">
      <alignment/>
    </xf>
    <xf numFmtId="41" fontId="81" fillId="0" borderId="56" xfId="46" applyFont="1" applyFill="1" applyBorder="1" applyAlignment="1" applyProtection="1">
      <alignment/>
      <protection hidden="1"/>
    </xf>
    <xf numFmtId="41" fontId="82" fillId="0" borderId="57" xfId="46" applyFont="1" applyFill="1" applyBorder="1" applyAlignment="1" applyProtection="1">
      <alignment horizontal="center" vertical="center" wrapText="1"/>
      <protection locked="0"/>
    </xf>
    <xf numFmtId="41" fontId="81" fillId="0" borderId="17" xfId="46" applyFont="1" applyFill="1" applyBorder="1" applyAlignment="1" applyProtection="1">
      <alignment horizontal="right"/>
      <protection locked="0"/>
    </xf>
    <xf numFmtId="41" fontId="81" fillId="0" borderId="22" xfId="46" applyFont="1" applyFill="1" applyBorder="1" applyAlignment="1" applyProtection="1">
      <alignment horizontal="right"/>
      <protection locked="0"/>
    </xf>
    <xf numFmtId="41" fontId="81" fillId="0" borderId="27" xfId="46" applyFont="1" applyFill="1" applyBorder="1" applyAlignment="1" applyProtection="1">
      <alignment horizontal="right"/>
      <protection locked="0"/>
    </xf>
    <xf numFmtId="41" fontId="81" fillId="0" borderId="48" xfId="46" applyFont="1" applyFill="1" applyBorder="1" applyAlignment="1" applyProtection="1">
      <alignment horizontal="right"/>
      <protection hidden="1"/>
    </xf>
    <xf numFmtId="174" fontId="82" fillId="0" borderId="56" xfId="46" applyNumberFormat="1" applyFont="1" applyFill="1" applyBorder="1" applyAlignment="1" applyProtection="1">
      <alignment horizontal="right"/>
      <protection hidden="1"/>
    </xf>
    <xf numFmtId="41" fontId="83" fillId="0" borderId="58" xfId="46" applyFont="1" applyFill="1" applyBorder="1" applyAlignment="1" applyProtection="1">
      <alignment horizontal="center" vertical="center" wrapText="1"/>
      <protection locked="0"/>
    </xf>
    <xf numFmtId="41" fontId="84" fillId="0" borderId="59" xfId="46" applyFont="1" applyFill="1" applyBorder="1" applyAlignment="1" applyProtection="1">
      <alignment horizontal="right"/>
      <protection locked="0"/>
    </xf>
    <xf numFmtId="41" fontId="84" fillId="0" borderId="32" xfId="46" applyFont="1" applyFill="1" applyBorder="1" applyAlignment="1" applyProtection="1">
      <alignment horizontal="right"/>
      <protection locked="0"/>
    </xf>
    <xf numFmtId="41" fontId="84" fillId="0" borderId="60" xfId="46" applyFont="1" applyFill="1" applyBorder="1" applyAlignment="1" applyProtection="1">
      <alignment horizontal="right"/>
      <protection locked="0"/>
    </xf>
    <xf numFmtId="41" fontId="84" fillId="0" borderId="61" xfId="46" applyFont="1" applyFill="1" applyBorder="1" applyAlignment="1" applyProtection="1">
      <alignment horizontal="right"/>
      <protection hidden="1"/>
    </xf>
    <xf numFmtId="174" fontId="83" fillId="0" borderId="62" xfId="46" applyNumberFormat="1" applyFont="1" applyFill="1" applyBorder="1" applyAlignment="1" applyProtection="1">
      <alignment horizontal="right"/>
      <protection hidden="1"/>
    </xf>
    <xf numFmtId="2" fontId="14" fillId="0" borderId="63" xfId="46" applyNumberFormat="1" applyFont="1" applyFill="1" applyBorder="1" applyAlignment="1" applyProtection="1">
      <alignment/>
      <protection hidden="1"/>
    </xf>
    <xf numFmtId="4" fontId="14" fillId="0" borderId="55" xfId="46" applyNumberFormat="1" applyFont="1" applyFill="1" applyBorder="1" applyAlignment="1" applyProtection="1">
      <alignment/>
      <protection hidden="1"/>
    </xf>
    <xf numFmtId="4" fontId="14" fillId="0" borderId="56" xfId="46" applyNumberFormat="1" applyFont="1" applyFill="1" applyBorder="1" applyAlignment="1" applyProtection="1">
      <alignment/>
      <protection hidden="1"/>
    </xf>
    <xf numFmtId="4" fontId="14" fillId="0" borderId="63" xfId="46" applyNumberFormat="1" applyFont="1" applyFill="1" applyBorder="1" applyAlignment="1" applyProtection="1">
      <alignment/>
      <protection hidden="1"/>
    </xf>
    <xf numFmtId="41" fontId="12" fillId="0" borderId="64" xfId="46" applyFont="1" applyFill="1" applyBorder="1" applyAlignment="1">
      <alignment horizontal="center" vertical="center" wrapText="1"/>
    </xf>
    <xf numFmtId="41" fontId="12" fillId="0" borderId="34" xfId="46" applyFont="1" applyFill="1" applyBorder="1" applyAlignment="1">
      <alignment horizontal="center" vertical="center" wrapText="1"/>
    </xf>
    <xf numFmtId="41" fontId="5" fillId="13" borderId="65" xfId="46" applyFont="1" applyFill="1" applyBorder="1" applyAlignment="1" applyProtection="1">
      <alignment/>
      <protection hidden="1"/>
    </xf>
    <xf numFmtId="3" fontId="18" fillId="13" borderId="66" xfId="46" applyNumberFormat="1" applyFont="1" applyFill="1" applyBorder="1" applyAlignment="1" applyProtection="1">
      <alignment/>
      <protection hidden="1"/>
    </xf>
    <xf numFmtId="4" fontId="14" fillId="13" borderId="66" xfId="46" applyNumberFormat="1" applyFont="1" applyFill="1" applyBorder="1" applyAlignment="1" applyProtection="1">
      <alignment/>
      <protection hidden="1"/>
    </xf>
    <xf numFmtId="4" fontId="14" fillId="6" borderId="67" xfId="46" applyNumberFormat="1" applyFont="1" applyFill="1" applyBorder="1" applyAlignment="1" applyProtection="1">
      <alignment/>
      <protection hidden="1"/>
    </xf>
    <xf numFmtId="41" fontId="15" fillId="0" borderId="68" xfId="46" applyFont="1" applyFill="1" applyBorder="1" applyAlignment="1" applyProtection="1">
      <alignment/>
      <protection locked="0"/>
    </xf>
    <xf numFmtId="41" fontId="15" fillId="0" borderId="69" xfId="46" applyFont="1" applyFill="1" applyBorder="1" applyAlignment="1" applyProtection="1">
      <alignment/>
      <protection locked="0"/>
    </xf>
    <xf numFmtId="41" fontId="15" fillId="0" borderId="70" xfId="46" applyFont="1" applyFill="1" applyBorder="1" applyAlignment="1" applyProtection="1">
      <alignment/>
      <protection locked="0"/>
    </xf>
    <xf numFmtId="3" fontId="18" fillId="0" borderId="71" xfId="46" applyNumberFormat="1" applyFont="1" applyFill="1" applyBorder="1" applyAlignment="1" applyProtection="1">
      <alignment/>
      <protection hidden="1"/>
    </xf>
    <xf numFmtId="41" fontId="16" fillId="6" borderId="72" xfId="46" applyFont="1" applyFill="1" applyBorder="1" applyAlignment="1" applyProtection="1">
      <alignment horizontal="right"/>
      <protection locked="0"/>
    </xf>
    <xf numFmtId="41" fontId="16" fillId="6" borderId="73" xfId="46" applyFont="1" applyFill="1" applyBorder="1" applyAlignment="1" applyProtection="1">
      <alignment horizontal="right"/>
      <protection locked="0"/>
    </xf>
    <xf numFmtId="41" fontId="16" fillId="6" borderId="74" xfId="46" applyFont="1" applyFill="1" applyBorder="1" applyAlignment="1" applyProtection="1">
      <alignment horizontal="right"/>
      <protection locked="0"/>
    </xf>
    <xf numFmtId="41" fontId="16" fillId="6" borderId="75" xfId="46" applyFont="1" applyFill="1" applyBorder="1" applyAlignment="1" applyProtection="1">
      <alignment horizontal="right"/>
      <protection hidden="1"/>
    </xf>
    <xf numFmtId="174" fontId="8" fillId="6" borderId="75" xfId="46" applyNumberFormat="1" applyFont="1" applyFill="1" applyBorder="1" applyAlignment="1" applyProtection="1">
      <alignment horizontal="right"/>
      <protection hidden="1"/>
    </xf>
    <xf numFmtId="41" fontId="27" fillId="6" borderId="76" xfId="46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/>
    </xf>
    <xf numFmtId="41" fontId="16" fillId="6" borderId="77" xfId="46" applyFont="1" applyFill="1" applyBorder="1" applyAlignment="1" applyProtection="1">
      <alignment/>
      <protection hidden="1"/>
    </xf>
    <xf numFmtId="41" fontId="16" fillId="6" borderId="78" xfId="46" applyFont="1" applyFill="1" applyBorder="1" applyAlignment="1" applyProtection="1">
      <alignment/>
      <protection hidden="1"/>
    </xf>
    <xf numFmtId="41" fontId="16" fillId="6" borderId="79" xfId="46" applyFont="1" applyFill="1" applyBorder="1" applyAlignment="1" applyProtection="1">
      <alignment/>
      <protection hidden="1"/>
    </xf>
    <xf numFmtId="3" fontId="18" fillId="6" borderId="80" xfId="46" applyNumberFormat="1" applyFont="1" applyFill="1" applyBorder="1" applyAlignment="1" applyProtection="1">
      <alignment/>
      <protection hidden="1"/>
    </xf>
    <xf numFmtId="1" fontId="10" fillId="0" borderId="46" xfId="45" applyNumberFormat="1" applyFont="1" applyBorder="1" applyAlignment="1">
      <alignment horizontal="center"/>
    </xf>
    <xf numFmtId="1" fontId="10" fillId="0" borderId="21" xfId="45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1" fontId="35" fillId="0" borderId="34" xfId="46" applyFont="1" applyFill="1" applyBorder="1" applyAlignment="1">
      <alignment horizontal="center" vertical="center" textRotation="90" wrapText="1"/>
    </xf>
    <xf numFmtId="41" fontId="35" fillId="0" borderId="30" xfId="46" applyFont="1" applyFill="1" applyBorder="1" applyAlignment="1">
      <alignment horizontal="center" vertical="center" textRotation="90" wrapText="1"/>
    </xf>
    <xf numFmtId="41" fontId="35" fillId="0" borderId="81" xfId="46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"/>
    </xf>
    <xf numFmtId="41" fontId="35" fillId="0" borderId="82" xfId="46" applyFont="1" applyFill="1" applyBorder="1" applyAlignment="1">
      <alignment horizontal="center" vertical="center" textRotation="90"/>
    </xf>
    <xf numFmtId="41" fontId="35" fillId="0" borderId="83" xfId="46" applyFont="1" applyFill="1" applyBorder="1" applyAlignment="1">
      <alignment horizontal="center" vertical="center" textRotation="90"/>
    </xf>
    <xf numFmtId="41" fontId="35" fillId="0" borderId="84" xfId="46" applyFont="1" applyFill="1" applyBorder="1" applyAlignment="1">
      <alignment horizontal="center" vertical="center" textRotation="90"/>
    </xf>
    <xf numFmtId="41" fontId="35" fillId="0" borderId="85" xfId="46" applyFont="1" applyFill="1" applyBorder="1" applyAlignment="1">
      <alignment horizontal="center" vertical="center" textRotation="90"/>
    </xf>
    <xf numFmtId="41" fontId="36" fillId="6" borderId="86" xfId="46" applyFont="1" applyFill="1" applyBorder="1" applyAlignment="1">
      <alignment horizontal="center" vertical="center" textRotation="90" wrapText="1"/>
    </xf>
    <xf numFmtId="41" fontId="36" fillId="6" borderId="87" xfId="46" applyFont="1" applyFill="1" applyBorder="1" applyAlignment="1">
      <alignment horizontal="center" vertical="center" textRotation="90" wrapText="1"/>
    </xf>
    <xf numFmtId="41" fontId="2" fillId="34" borderId="88" xfId="46" applyFont="1" applyFill="1" applyBorder="1" applyAlignment="1">
      <alignment horizontal="center" vertical="center"/>
    </xf>
    <xf numFmtId="41" fontId="2" fillId="34" borderId="89" xfId="46" applyFont="1" applyFill="1" applyBorder="1" applyAlignment="1">
      <alignment horizontal="center" vertical="center"/>
    </xf>
    <xf numFmtId="41" fontId="2" fillId="34" borderId="90" xfId="46" applyFont="1" applyFill="1" applyBorder="1" applyAlignment="1">
      <alignment horizontal="center" vertical="center"/>
    </xf>
    <xf numFmtId="41" fontId="35" fillId="0" borderId="64" xfId="46" applyFont="1" applyFill="1" applyBorder="1" applyAlignment="1">
      <alignment horizontal="center" vertical="center" textRotation="90" wrapText="1"/>
    </xf>
    <xf numFmtId="41" fontId="35" fillId="0" borderId="91" xfId="46" applyFont="1" applyFill="1" applyBorder="1" applyAlignment="1">
      <alignment horizontal="center" vertical="center" textRotation="90" wrapText="1"/>
    </xf>
    <xf numFmtId="41" fontId="35" fillId="0" borderId="92" xfId="46" applyFont="1" applyFill="1" applyBorder="1" applyAlignment="1">
      <alignment horizontal="center" vertical="center" textRotation="90" wrapText="1"/>
    </xf>
    <xf numFmtId="41" fontId="35" fillId="0" borderId="93" xfId="46" applyFont="1" applyFill="1" applyBorder="1" applyAlignment="1">
      <alignment horizontal="center" vertical="center" textRotation="90" wrapText="1"/>
    </xf>
    <xf numFmtId="41" fontId="35" fillId="0" borderId="94" xfId="46" applyFont="1" applyFill="1" applyBorder="1" applyAlignment="1">
      <alignment horizontal="center" vertical="center" textRotation="90" wrapText="1"/>
    </xf>
    <xf numFmtId="41" fontId="35" fillId="0" borderId="95" xfId="46" applyFont="1" applyFill="1" applyBorder="1" applyAlignment="1">
      <alignment horizontal="center" vertical="center" textRotation="90" wrapText="1"/>
    </xf>
    <xf numFmtId="41" fontId="11" fillId="13" borderId="96" xfId="46" applyFont="1" applyFill="1" applyBorder="1" applyAlignment="1">
      <alignment horizontal="center" vertical="center"/>
    </xf>
    <xf numFmtId="41" fontId="11" fillId="13" borderId="97" xfId="46" applyFont="1" applyFill="1" applyBorder="1" applyAlignment="1">
      <alignment horizontal="center" vertical="center"/>
    </xf>
    <xf numFmtId="41" fontId="11" fillId="13" borderId="98" xfId="46" applyFont="1" applyFill="1" applyBorder="1" applyAlignment="1">
      <alignment horizontal="center" vertical="center"/>
    </xf>
    <xf numFmtId="41" fontId="11" fillId="6" borderId="99" xfId="46" applyFont="1" applyFill="1" applyBorder="1" applyAlignment="1">
      <alignment horizontal="center" vertical="center"/>
    </xf>
    <xf numFmtId="41" fontId="11" fillId="6" borderId="45" xfId="46" applyFont="1" applyFill="1" applyBorder="1" applyAlignment="1">
      <alignment horizontal="center" vertical="center"/>
    </xf>
    <xf numFmtId="41" fontId="11" fillId="6" borderId="98" xfId="46" applyFont="1" applyFill="1" applyBorder="1" applyAlignment="1">
      <alignment horizontal="center" vertical="center"/>
    </xf>
    <xf numFmtId="0" fontId="0" fillId="6" borderId="100" xfId="0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41" fontId="36" fillId="13" borderId="102" xfId="46" applyFont="1" applyFill="1" applyBorder="1" applyAlignment="1">
      <alignment horizontal="center" vertical="center" textRotation="90"/>
    </xf>
    <xf numFmtId="0" fontId="1" fillId="13" borderId="102" xfId="0" applyFont="1" applyFill="1" applyBorder="1" applyAlignment="1">
      <alignment horizontal="center" vertical="center" textRotation="90"/>
    </xf>
    <xf numFmtId="0" fontId="1" fillId="13" borderId="103" xfId="0" applyFont="1" applyFill="1" applyBorder="1" applyAlignment="1">
      <alignment horizontal="center" vertical="center" textRotation="90"/>
    </xf>
    <xf numFmtId="0" fontId="1" fillId="0" borderId="104" xfId="0" applyFont="1" applyFill="1" applyBorder="1" applyAlignment="1">
      <alignment horizontal="center" vertical="center" textRotation="90"/>
    </xf>
    <xf numFmtId="0" fontId="1" fillId="0" borderId="105" xfId="0" applyFont="1" applyFill="1" applyBorder="1" applyAlignment="1">
      <alignment horizontal="center" vertical="center" textRotation="90"/>
    </xf>
    <xf numFmtId="0" fontId="1" fillId="0" borderId="106" xfId="0" applyFont="1" applyFill="1" applyBorder="1" applyAlignment="1">
      <alignment horizontal="center" vertical="center" textRotation="90"/>
    </xf>
    <xf numFmtId="41" fontId="10" fillId="0" borderId="107" xfId="46" applyFont="1" applyFill="1" applyBorder="1" applyAlignment="1">
      <alignment horizontal="center" vertical="center" wrapText="1"/>
    </xf>
    <xf numFmtId="41" fontId="10" fillId="0" borderId="108" xfId="46" applyFont="1" applyFill="1" applyBorder="1" applyAlignment="1">
      <alignment horizontal="center" vertical="center" wrapText="1"/>
    </xf>
    <xf numFmtId="41" fontId="10" fillId="0" borderId="109" xfId="46" applyFont="1" applyFill="1" applyBorder="1" applyAlignment="1">
      <alignment horizontal="center" vertical="center" wrapText="1"/>
    </xf>
    <xf numFmtId="41" fontId="10" fillId="0" borderId="110" xfId="46" applyFont="1" applyFill="1" applyBorder="1" applyAlignment="1">
      <alignment horizontal="center" vertical="center" wrapText="1"/>
    </xf>
    <xf numFmtId="41" fontId="10" fillId="0" borderId="0" xfId="46" applyFont="1" applyFill="1" applyBorder="1" applyAlignment="1">
      <alignment horizontal="center" vertical="center" wrapText="1"/>
    </xf>
    <xf numFmtId="41" fontId="10" fillId="0" borderId="86" xfId="46" applyFont="1" applyFill="1" applyBorder="1" applyAlignment="1">
      <alignment horizontal="center" vertical="center" wrapText="1"/>
    </xf>
    <xf numFmtId="41" fontId="10" fillId="0" borderId="100" xfId="46" applyFont="1" applyFill="1" applyBorder="1" applyAlignment="1">
      <alignment horizontal="center" vertical="center" wrapText="1"/>
    </xf>
    <xf numFmtId="41" fontId="10" fillId="0" borderId="101" xfId="46" applyFont="1" applyFill="1" applyBorder="1" applyAlignment="1">
      <alignment horizontal="center" vertical="center" wrapText="1"/>
    </xf>
    <xf numFmtId="41" fontId="10" fillId="0" borderId="111" xfId="46" applyFont="1" applyFill="1" applyBorder="1" applyAlignment="1">
      <alignment horizontal="center" vertical="center" wrapText="1"/>
    </xf>
    <xf numFmtId="41" fontId="8" fillId="0" borderId="112" xfId="46" applyFont="1" applyFill="1" applyBorder="1" applyAlignment="1" applyProtection="1">
      <alignment horizontal="center" vertical="center" wrapText="1"/>
      <protection locked="0"/>
    </xf>
    <xf numFmtId="41" fontId="8" fillId="0" borderId="57" xfId="46" applyFont="1" applyFill="1" applyBorder="1" applyAlignment="1" applyProtection="1">
      <alignment horizontal="center" vertical="center" wrapText="1"/>
      <protection locked="0"/>
    </xf>
    <xf numFmtId="41" fontId="86" fillId="0" borderId="113" xfId="46" applyFont="1" applyFill="1" applyBorder="1" applyAlignment="1">
      <alignment horizontal="center" vertical="center"/>
    </xf>
    <xf numFmtId="41" fontId="86" fillId="0" borderId="83" xfId="46" applyFont="1" applyFill="1" applyBorder="1" applyAlignment="1">
      <alignment horizontal="center" vertical="center"/>
    </xf>
    <xf numFmtId="41" fontId="8" fillId="2" borderId="114" xfId="46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41" fontId="82" fillId="0" borderId="115" xfId="46" applyFont="1" applyFill="1" applyBorder="1" applyAlignment="1">
      <alignment horizontal="center" vertical="center"/>
    </xf>
    <xf numFmtId="41" fontId="82" fillId="0" borderId="85" xfId="46" applyFont="1" applyFill="1" applyBorder="1" applyAlignment="1">
      <alignment horizontal="center" vertical="center"/>
    </xf>
    <xf numFmtId="41" fontId="8" fillId="0" borderId="112" xfId="46" applyFont="1" applyFill="1" applyBorder="1" applyAlignment="1" applyProtection="1">
      <alignment horizontal="center" vertical="center"/>
      <protection hidden="1"/>
    </xf>
    <xf numFmtId="41" fontId="8" fillId="0" borderId="57" xfId="46" applyFont="1" applyFill="1" applyBorder="1" applyAlignment="1" applyProtection="1">
      <alignment horizontal="center" vertical="center"/>
      <protection hidden="1"/>
    </xf>
    <xf numFmtId="41" fontId="8" fillId="0" borderId="113" xfId="46" applyFont="1" applyFill="1" applyBorder="1" applyAlignment="1" applyProtection="1">
      <alignment horizontal="center" vertical="center" wrapText="1"/>
      <protection locked="0"/>
    </xf>
    <xf numFmtId="41" fontId="8" fillId="0" borderId="83" xfId="46" applyFont="1" applyFill="1" applyBorder="1" applyAlignment="1" applyProtection="1">
      <alignment horizontal="center" vertical="center" wrapText="1"/>
      <protection locked="0"/>
    </xf>
    <xf numFmtId="41" fontId="2" fillId="35" borderId="107" xfId="46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1" fontId="2" fillId="35" borderId="110" xfId="4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9" fillId="0" borderId="116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120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107" xfId="0" applyFont="1" applyBorder="1" applyAlignment="1">
      <alignment horizontal="right" vertical="center"/>
    </xf>
    <xf numFmtId="0" fontId="29" fillId="0" borderId="108" xfId="0" applyFont="1" applyBorder="1" applyAlignment="1">
      <alignment horizontal="right"/>
    </xf>
    <xf numFmtId="0" fontId="29" fillId="0" borderId="11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121" xfId="0" applyFont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101" xfId="0" applyBorder="1" applyAlignment="1">
      <alignment horizontal="center"/>
    </xf>
    <xf numFmtId="41" fontId="30" fillId="0" borderId="109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97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8">
    <dxf>
      <font>
        <color rgb="FFC00000"/>
      </font>
    </dxf>
    <dxf>
      <font>
        <b val="0"/>
        <i/>
        <color auto="1"/>
      </font>
    </dxf>
    <dxf>
      <font>
        <color indexed="10"/>
      </font>
    </dxf>
    <dxf>
      <font>
        <color rgb="FFC00000"/>
      </font>
    </dxf>
    <dxf>
      <font>
        <b val="0"/>
        <i/>
        <color auto="1"/>
      </font>
    </dxf>
    <dxf>
      <font>
        <color indexed="10"/>
      </font>
    </dxf>
    <dxf>
      <font>
        <color rgb="FFC00000"/>
      </font>
    </dxf>
    <dxf>
      <font>
        <b val="0"/>
        <i/>
        <color auto="1"/>
      </font>
    </dxf>
    <dxf>
      <font>
        <color indexed="10"/>
      </font>
    </dxf>
    <dxf>
      <font>
        <color rgb="FFC00000"/>
      </font>
    </dxf>
    <dxf>
      <font>
        <b val="0"/>
        <i/>
        <color auto="1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/>
        <color auto="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76200</xdr:rowOff>
    </xdr:from>
    <xdr:to>
      <xdr:col>8</xdr:col>
      <xdr:colOff>123825</xdr:colOff>
      <xdr:row>2</xdr:row>
      <xdr:rowOff>171450</xdr:rowOff>
    </xdr:to>
    <xdr:pic>
      <xdr:nvPicPr>
        <xdr:cNvPr id="1" name="Picture 5" descr="logo_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6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522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SEGRETARIO COMUNALE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Dott. Antonio ATTANASI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47625</xdr:colOff>
      <xdr:row>4</xdr:row>
      <xdr:rowOff>38100</xdr:rowOff>
    </xdr:to>
    <xdr:pic>
      <xdr:nvPicPr>
        <xdr:cNvPr id="2" name="Picture 2" descr="logo_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190500</xdr:colOff>
      <xdr:row>2</xdr:row>
      <xdr:rowOff>123825</xdr:rowOff>
    </xdr:to>
    <xdr:pic>
      <xdr:nvPicPr>
        <xdr:cNvPr id="1" name="Picture 2" descr="logo_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1" name="Picture 2" descr="logo_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1" name="Picture 2" descr="logo_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1" name="Picture 2" descr="logo_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W34"/>
  <sheetViews>
    <sheetView zoomScale="120" zoomScaleNormal="120" zoomScalePageLayoutView="0" workbookViewId="0" topLeftCell="A1">
      <selection activeCell="V14" sqref="V14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6.421875" style="0" customWidth="1"/>
    <col min="4" max="5" width="6.7109375" style="0" customWidth="1"/>
    <col min="6" max="6" width="6.421875" style="0" customWidth="1"/>
    <col min="7" max="9" width="6.28125" style="0" customWidth="1"/>
    <col min="10" max="10" width="8.28125" style="0" customWidth="1"/>
    <col min="11" max="11" width="1.8515625" style="0" customWidth="1"/>
    <col min="12" max="12" width="3.57421875" style="7" customWidth="1"/>
    <col min="13" max="13" width="6.28125" style="0" customWidth="1"/>
    <col min="14" max="18" width="6.57421875" style="0" customWidth="1"/>
    <col min="19" max="21" width="6.421875" style="0" customWidth="1"/>
    <col min="22" max="22" width="7.8515625" style="0" customWidth="1"/>
    <col min="23" max="23" width="8.8515625" style="166" customWidth="1"/>
  </cols>
  <sheetData>
    <row r="1" spans="2:22" ht="18"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2:22" ht="14.25">
      <c r="B2" s="174" t="s">
        <v>22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2:22" ht="22.5" customHeight="1">
      <c r="B3" s="175" t="s">
        <v>27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26.25" customHeight="1">
      <c r="B4" s="179" t="s">
        <v>31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ht="8.25" customHeight="1"/>
    <row r="6" ht="1.5" customHeight="1" thickBot="1"/>
    <row r="7" spans="2:22" ht="19.5" customHeight="1" thickTop="1">
      <c r="B7" s="207" t="s">
        <v>4</v>
      </c>
      <c r="C7" s="210" t="s">
        <v>20</v>
      </c>
      <c r="D7" s="211"/>
      <c r="E7" s="212"/>
      <c r="F7" s="232" t="s">
        <v>5</v>
      </c>
      <c r="G7" s="233"/>
      <c r="H7" s="233"/>
      <c r="I7" s="233"/>
      <c r="J7" s="234"/>
      <c r="L7" s="207" t="s">
        <v>4</v>
      </c>
      <c r="M7" s="186" t="s">
        <v>14</v>
      </c>
      <c r="N7" s="187"/>
      <c r="O7" s="187"/>
      <c r="P7" s="187"/>
      <c r="Q7" s="187"/>
      <c r="R7" s="187"/>
      <c r="S7" s="187"/>
      <c r="T7" s="187"/>
      <c r="U7" s="187"/>
      <c r="V7" s="188"/>
    </row>
    <row r="8" spans="2:22" ht="19.5" customHeight="1">
      <c r="B8" s="208"/>
      <c r="C8" s="213"/>
      <c r="D8" s="214"/>
      <c r="E8" s="215"/>
      <c r="F8" s="235"/>
      <c r="G8" s="236"/>
      <c r="H8" s="236"/>
      <c r="I8" s="236"/>
      <c r="J8" s="237"/>
      <c r="L8" s="208"/>
      <c r="M8" s="195" t="s">
        <v>13</v>
      </c>
      <c r="N8" s="196"/>
      <c r="O8" s="196"/>
      <c r="P8" s="196"/>
      <c r="Q8" s="196"/>
      <c r="R8" s="197"/>
      <c r="S8" s="198" t="s">
        <v>10</v>
      </c>
      <c r="T8" s="199"/>
      <c r="U8" s="199"/>
      <c r="V8" s="200"/>
    </row>
    <row r="9" spans="2:22" ht="17.25" customHeight="1">
      <c r="B9" s="208"/>
      <c r="C9" s="213"/>
      <c r="D9" s="214"/>
      <c r="E9" s="215"/>
      <c r="F9" s="238"/>
      <c r="G9" s="239"/>
      <c r="H9" s="239"/>
      <c r="I9" s="239"/>
      <c r="J9" s="237"/>
      <c r="L9" s="208"/>
      <c r="M9" s="150" t="s">
        <v>16</v>
      </c>
      <c r="N9" s="151" t="s">
        <v>17</v>
      </c>
      <c r="O9" s="151" t="s">
        <v>18</v>
      </c>
      <c r="P9" s="151" t="s">
        <v>19</v>
      </c>
      <c r="Q9" s="151" t="s">
        <v>38</v>
      </c>
      <c r="R9" s="204" t="s">
        <v>13</v>
      </c>
      <c r="S9" s="201"/>
      <c r="T9" s="202"/>
      <c r="U9" s="202"/>
      <c r="V9" s="203"/>
    </row>
    <row r="10" spans="2:22" ht="12.75" customHeight="1">
      <c r="B10" s="208"/>
      <c r="C10" s="213"/>
      <c r="D10" s="214"/>
      <c r="E10" s="215"/>
      <c r="F10" s="238"/>
      <c r="G10" s="239"/>
      <c r="H10" s="239"/>
      <c r="I10" s="239"/>
      <c r="J10" s="237"/>
      <c r="L10" s="208"/>
      <c r="M10" s="189" t="s">
        <v>100</v>
      </c>
      <c r="N10" s="176" t="s">
        <v>101</v>
      </c>
      <c r="O10" s="176" t="s">
        <v>102</v>
      </c>
      <c r="P10" s="176" t="s">
        <v>103</v>
      </c>
      <c r="Q10" s="176" t="s">
        <v>104</v>
      </c>
      <c r="R10" s="205"/>
      <c r="S10" s="180" t="s">
        <v>11</v>
      </c>
      <c r="T10" s="182" t="s">
        <v>12</v>
      </c>
      <c r="U10" s="192" t="s">
        <v>99</v>
      </c>
      <c r="V10" s="184" t="s">
        <v>36</v>
      </c>
    </row>
    <row r="11" spans="2:22" ht="7.5" customHeight="1">
      <c r="B11" s="208"/>
      <c r="C11" s="216"/>
      <c r="D11" s="217"/>
      <c r="E11" s="218"/>
      <c r="F11" s="240"/>
      <c r="G11" s="241"/>
      <c r="H11" s="241"/>
      <c r="I11" s="241"/>
      <c r="J11" s="242"/>
      <c r="L11" s="208"/>
      <c r="M11" s="190"/>
      <c r="N11" s="177"/>
      <c r="O11" s="177"/>
      <c r="P11" s="177"/>
      <c r="Q11" s="177"/>
      <c r="R11" s="205"/>
      <c r="S11" s="180"/>
      <c r="T11" s="182"/>
      <c r="U11" s="193"/>
      <c r="V11" s="184"/>
    </row>
    <row r="12" spans="2:22" ht="18" customHeight="1">
      <c r="B12" s="208"/>
      <c r="C12" s="221" t="s">
        <v>6</v>
      </c>
      <c r="D12" s="226" t="s">
        <v>7</v>
      </c>
      <c r="E12" s="228" t="s">
        <v>8</v>
      </c>
      <c r="F12" s="230" t="s">
        <v>33</v>
      </c>
      <c r="G12" s="219" t="s">
        <v>32</v>
      </c>
      <c r="H12" s="223" t="s">
        <v>34</v>
      </c>
      <c r="I12" s="224"/>
      <c r="J12" s="225"/>
      <c r="L12" s="208"/>
      <c r="M12" s="190"/>
      <c r="N12" s="177"/>
      <c r="O12" s="177"/>
      <c r="P12" s="177"/>
      <c r="Q12" s="177"/>
      <c r="R12" s="205"/>
      <c r="S12" s="180"/>
      <c r="T12" s="182"/>
      <c r="U12" s="193"/>
      <c r="V12" s="184"/>
    </row>
    <row r="13" spans="2:22" ht="62.25" customHeight="1" thickBot="1">
      <c r="B13" s="209"/>
      <c r="C13" s="222"/>
      <c r="D13" s="227"/>
      <c r="E13" s="229"/>
      <c r="F13" s="231"/>
      <c r="G13" s="220"/>
      <c r="H13" s="140" t="s">
        <v>6</v>
      </c>
      <c r="I13" s="134" t="s">
        <v>7</v>
      </c>
      <c r="J13" s="165" t="s">
        <v>35</v>
      </c>
      <c r="L13" s="209"/>
      <c r="M13" s="191"/>
      <c r="N13" s="178"/>
      <c r="O13" s="178"/>
      <c r="P13" s="178"/>
      <c r="Q13" s="178"/>
      <c r="R13" s="206"/>
      <c r="S13" s="181"/>
      <c r="T13" s="183"/>
      <c r="U13" s="194"/>
      <c r="V13" s="185"/>
    </row>
    <row r="14" spans="2:23" ht="20.25" customHeight="1" thickTop="1">
      <c r="B14" s="8">
        <v>1</v>
      </c>
      <c r="C14" s="127">
        <v>527</v>
      </c>
      <c r="D14" s="131">
        <v>528</v>
      </c>
      <c r="E14" s="111">
        <f aca="true" t="shared" si="0" ref="E14:E19">C14+D14</f>
        <v>1055</v>
      </c>
      <c r="F14" s="9">
        <v>227</v>
      </c>
      <c r="G14" s="107">
        <v>522</v>
      </c>
      <c r="H14" s="141">
        <v>362</v>
      </c>
      <c r="I14" s="135">
        <v>373</v>
      </c>
      <c r="J14" s="160">
        <f aca="true" t="shared" si="1" ref="J14:J19">SUM(H14:I14)</f>
        <v>735</v>
      </c>
      <c r="L14" s="8">
        <v>1</v>
      </c>
      <c r="M14" s="10">
        <v>290</v>
      </c>
      <c r="N14" s="11">
        <v>72</v>
      </c>
      <c r="O14" s="11">
        <v>4</v>
      </c>
      <c r="P14" s="11">
        <v>179</v>
      </c>
      <c r="Q14" s="11">
        <v>176</v>
      </c>
      <c r="R14" s="152">
        <f aca="true" t="shared" si="2" ref="R14:R19">SUM(M14:Q14)</f>
        <v>721</v>
      </c>
      <c r="S14" s="12">
        <v>4</v>
      </c>
      <c r="T14" s="13">
        <v>10</v>
      </c>
      <c r="U14" s="156">
        <v>0</v>
      </c>
      <c r="V14" s="167">
        <f aca="true" t="shared" si="3" ref="V14:V19">SUM(R14:U14)</f>
        <v>735</v>
      </c>
      <c r="W14" s="166">
        <f>IF(V14&lt;&gt;J14,"errore","")</f>
      </c>
    </row>
    <row r="15" spans="2:23" ht="20.25" customHeight="1">
      <c r="B15" s="14">
        <v>2</v>
      </c>
      <c r="C15" s="128">
        <v>453</v>
      </c>
      <c r="D15" s="132">
        <v>475</v>
      </c>
      <c r="E15" s="111">
        <f t="shared" si="0"/>
        <v>928</v>
      </c>
      <c r="F15" s="15">
        <v>195</v>
      </c>
      <c r="G15" s="108">
        <v>415</v>
      </c>
      <c r="H15" s="142">
        <v>294</v>
      </c>
      <c r="I15" s="136">
        <v>327</v>
      </c>
      <c r="J15" s="161">
        <f t="shared" si="1"/>
        <v>621</v>
      </c>
      <c r="L15" s="14">
        <v>2</v>
      </c>
      <c r="M15" s="16">
        <v>229</v>
      </c>
      <c r="N15" s="17">
        <v>67</v>
      </c>
      <c r="O15" s="17">
        <v>6</v>
      </c>
      <c r="P15" s="17">
        <v>152</v>
      </c>
      <c r="Q15" s="17">
        <v>153</v>
      </c>
      <c r="R15" s="152">
        <f t="shared" si="2"/>
        <v>607</v>
      </c>
      <c r="S15" s="18">
        <v>2</v>
      </c>
      <c r="T15" s="19">
        <v>12</v>
      </c>
      <c r="U15" s="157">
        <v>0</v>
      </c>
      <c r="V15" s="168">
        <f t="shared" si="3"/>
        <v>621</v>
      </c>
      <c r="W15" s="166">
        <f aca="true" t="shared" si="4" ref="W15:W20">IF(V15&lt;&gt;J15,"errore","")</f>
      </c>
    </row>
    <row r="16" spans="2:23" ht="20.25" customHeight="1">
      <c r="B16" s="14">
        <v>3</v>
      </c>
      <c r="C16" s="128">
        <v>473</v>
      </c>
      <c r="D16" s="132">
        <v>523</v>
      </c>
      <c r="E16" s="111">
        <f t="shared" si="0"/>
        <v>996</v>
      </c>
      <c r="F16" s="15">
        <v>170</v>
      </c>
      <c r="G16" s="108">
        <v>414</v>
      </c>
      <c r="H16" s="142">
        <v>302</v>
      </c>
      <c r="I16" s="136">
        <v>332</v>
      </c>
      <c r="J16" s="161">
        <f t="shared" si="1"/>
        <v>634</v>
      </c>
      <c r="L16" s="14">
        <v>3</v>
      </c>
      <c r="M16" s="16">
        <v>266</v>
      </c>
      <c r="N16" s="17">
        <v>54</v>
      </c>
      <c r="O16" s="17">
        <v>11</v>
      </c>
      <c r="P16" s="17">
        <v>132</v>
      </c>
      <c r="Q16" s="17">
        <v>153</v>
      </c>
      <c r="R16" s="152">
        <f t="shared" si="2"/>
        <v>616</v>
      </c>
      <c r="S16" s="18">
        <v>8</v>
      </c>
      <c r="T16" s="19">
        <v>10</v>
      </c>
      <c r="U16" s="157">
        <v>0</v>
      </c>
      <c r="V16" s="168">
        <f t="shared" si="3"/>
        <v>634</v>
      </c>
      <c r="W16" s="166">
        <f t="shared" si="4"/>
      </c>
    </row>
    <row r="17" spans="2:23" ht="20.25" customHeight="1">
      <c r="B17" s="14">
        <v>4</v>
      </c>
      <c r="C17" s="128">
        <v>575</v>
      </c>
      <c r="D17" s="132">
        <v>606</v>
      </c>
      <c r="E17" s="111">
        <f t="shared" si="0"/>
        <v>1181</v>
      </c>
      <c r="F17" s="15">
        <v>221</v>
      </c>
      <c r="G17" s="108">
        <v>537</v>
      </c>
      <c r="H17" s="142">
        <v>393</v>
      </c>
      <c r="I17" s="136">
        <v>428</v>
      </c>
      <c r="J17" s="161">
        <f t="shared" si="1"/>
        <v>821</v>
      </c>
      <c r="L17" s="14">
        <v>4</v>
      </c>
      <c r="M17" s="16">
        <v>353</v>
      </c>
      <c r="N17" s="17">
        <v>55</v>
      </c>
      <c r="O17" s="17">
        <v>5</v>
      </c>
      <c r="P17" s="17">
        <v>209</v>
      </c>
      <c r="Q17" s="17">
        <v>181</v>
      </c>
      <c r="R17" s="152">
        <f t="shared" si="2"/>
        <v>803</v>
      </c>
      <c r="S17" s="18">
        <v>6</v>
      </c>
      <c r="T17" s="19">
        <v>12</v>
      </c>
      <c r="U17" s="157">
        <v>0</v>
      </c>
      <c r="V17" s="168">
        <f t="shared" si="3"/>
        <v>821</v>
      </c>
      <c r="W17" s="166">
        <f t="shared" si="4"/>
      </c>
    </row>
    <row r="18" spans="2:23" ht="20.25" customHeight="1">
      <c r="B18" s="14">
        <v>5</v>
      </c>
      <c r="C18" s="128">
        <v>497</v>
      </c>
      <c r="D18" s="132">
        <v>516</v>
      </c>
      <c r="E18" s="111">
        <f t="shared" si="0"/>
        <v>1013</v>
      </c>
      <c r="F18" s="15">
        <v>149</v>
      </c>
      <c r="G18" s="108">
        <v>430</v>
      </c>
      <c r="H18" s="142">
        <v>323</v>
      </c>
      <c r="I18" s="136">
        <v>334</v>
      </c>
      <c r="J18" s="161">
        <f t="shared" si="1"/>
        <v>657</v>
      </c>
      <c r="L18" s="14">
        <v>5</v>
      </c>
      <c r="M18" s="16">
        <v>279</v>
      </c>
      <c r="N18" s="17">
        <v>48</v>
      </c>
      <c r="O18" s="17">
        <v>9</v>
      </c>
      <c r="P18" s="17">
        <v>150</v>
      </c>
      <c r="Q18" s="17">
        <v>148</v>
      </c>
      <c r="R18" s="152">
        <f t="shared" si="2"/>
        <v>634</v>
      </c>
      <c r="S18" s="18">
        <v>8</v>
      </c>
      <c r="T18" s="19">
        <v>15</v>
      </c>
      <c r="U18" s="157">
        <v>0</v>
      </c>
      <c r="V18" s="168">
        <f t="shared" si="3"/>
        <v>657</v>
      </c>
      <c r="W18" s="166">
        <f t="shared" si="4"/>
      </c>
    </row>
    <row r="19" spans="2:23" ht="20.25" customHeight="1" thickBot="1">
      <c r="B19" s="20">
        <v>6</v>
      </c>
      <c r="C19" s="129">
        <v>437</v>
      </c>
      <c r="D19" s="132">
        <v>507</v>
      </c>
      <c r="E19" s="111">
        <f t="shared" si="0"/>
        <v>944</v>
      </c>
      <c r="F19" s="15">
        <v>198</v>
      </c>
      <c r="G19" s="109">
        <v>430</v>
      </c>
      <c r="H19" s="143">
        <v>313</v>
      </c>
      <c r="I19" s="137">
        <v>348</v>
      </c>
      <c r="J19" s="162">
        <f t="shared" si="1"/>
        <v>661</v>
      </c>
      <c r="L19" s="20">
        <v>6</v>
      </c>
      <c r="M19" s="21">
        <v>234</v>
      </c>
      <c r="N19" s="22">
        <v>66</v>
      </c>
      <c r="O19" s="22">
        <v>2</v>
      </c>
      <c r="P19" s="22">
        <v>190</v>
      </c>
      <c r="Q19" s="22">
        <v>156</v>
      </c>
      <c r="R19" s="152">
        <f t="shared" si="2"/>
        <v>648</v>
      </c>
      <c r="S19" s="23">
        <v>3</v>
      </c>
      <c r="T19" s="24">
        <v>10</v>
      </c>
      <c r="U19" s="158">
        <v>0</v>
      </c>
      <c r="V19" s="169">
        <f t="shared" si="3"/>
        <v>661</v>
      </c>
      <c r="W19" s="166">
        <f t="shared" si="4"/>
      </c>
    </row>
    <row r="20" spans="2:23" ht="24" customHeight="1" thickBot="1" thickTop="1">
      <c r="B20" s="25" t="s">
        <v>9</v>
      </c>
      <c r="C20" s="130">
        <f aca="true" t="shared" si="5" ref="C20:J20">SUM(C14:C19)</f>
        <v>2962</v>
      </c>
      <c r="D20" s="133">
        <f t="shared" si="5"/>
        <v>3155</v>
      </c>
      <c r="E20" s="112">
        <f t="shared" si="5"/>
        <v>6117</v>
      </c>
      <c r="F20" s="26">
        <f t="shared" si="5"/>
        <v>1160</v>
      </c>
      <c r="G20" s="103">
        <f t="shared" si="5"/>
        <v>2748</v>
      </c>
      <c r="H20" s="144">
        <f t="shared" si="5"/>
        <v>1987</v>
      </c>
      <c r="I20" s="138">
        <f t="shared" si="5"/>
        <v>2142</v>
      </c>
      <c r="J20" s="163">
        <f t="shared" si="5"/>
        <v>4129</v>
      </c>
      <c r="L20" s="25" t="s">
        <v>9</v>
      </c>
      <c r="M20" s="118">
        <f aca="true" t="shared" si="6" ref="M20:T20">SUM(M14:M19)</f>
        <v>1651</v>
      </c>
      <c r="N20" s="119">
        <f t="shared" si="6"/>
        <v>362</v>
      </c>
      <c r="O20" s="119">
        <f t="shared" si="6"/>
        <v>37</v>
      </c>
      <c r="P20" s="119">
        <f t="shared" si="6"/>
        <v>1012</v>
      </c>
      <c r="Q20" s="119">
        <f t="shared" si="6"/>
        <v>967</v>
      </c>
      <c r="R20" s="153">
        <f t="shared" si="6"/>
        <v>4029</v>
      </c>
      <c r="S20" s="120">
        <f t="shared" si="6"/>
        <v>31</v>
      </c>
      <c r="T20" s="121">
        <f t="shared" si="6"/>
        <v>69</v>
      </c>
      <c r="U20" s="159">
        <f>SUM(U14:U19)</f>
        <v>0</v>
      </c>
      <c r="V20" s="170">
        <f>SUM(V14:V19)</f>
        <v>4129</v>
      </c>
      <c r="W20" s="166">
        <f t="shared" si="4"/>
      </c>
    </row>
    <row r="21" spans="2:22" ht="22.5" customHeight="1" thickBot="1" thickTop="1">
      <c r="B21" s="27"/>
      <c r="C21" s="28"/>
      <c r="D21" s="29"/>
      <c r="E21" s="30" t="s">
        <v>15</v>
      </c>
      <c r="F21" s="31">
        <f>F20*100/E20</f>
        <v>18.963544221023376</v>
      </c>
      <c r="G21" s="110">
        <f>G20*100/E20</f>
        <v>44.923982344286415</v>
      </c>
      <c r="H21" s="145">
        <f>H20*100/C20</f>
        <v>67.08305199189736</v>
      </c>
      <c r="I21" s="139">
        <f>I20*100/D20</f>
        <v>67.89223454833598</v>
      </c>
      <c r="J21" s="164">
        <f>J20*100/E20</f>
        <v>67.50040869707372</v>
      </c>
      <c r="L21" s="32" t="s">
        <v>15</v>
      </c>
      <c r="M21" s="147">
        <f>M20*100/J20</f>
        <v>39.98546863647372</v>
      </c>
      <c r="N21" s="148">
        <f>N20*100/J20</f>
        <v>8.767255994187455</v>
      </c>
      <c r="O21" s="148">
        <f>O20*100/J20</f>
        <v>0.8961007507871155</v>
      </c>
      <c r="P21" s="149">
        <f>P20*100/J20</f>
        <v>24.509566480988134</v>
      </c>
      <c r="Q21" s="146">
        <f>Q20*100/J20</f>
        <v>23.419714216517317</v>
      </c>
      <c r="R21" s="154">
        <f>R20*100/J20</f>
        <v>97.57810607895374</v>
      </c>
      <c r="S21" s="147">
        <f>S20*100/J20</f>
        <v>0.7507871155243401</v>
      </c>
      <c r="T21" s="148">
        <f>T20*100/J20</f>
        <v>1.671106805521918</v>
      </c>
      <c r="U21" s="149">
        <f>U20*100/J20</f>
        <v>0</v>
      </c>
      <c r="V21" s="155">
        <f>V20*100/J20</f>
        <v>100</v>
      </c>
    </row>
    <row r="22" spans="2:22" ht="13.5" thickTop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57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ht="12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57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2:22" ht="12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57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6" spans="4:22" ht="12.75">
      <c r="D26" s="57"/>
      <c r="E26" s="57"/>
      <c r="F26" s="40"/>
      <c r="G26" s="40"/>
      <c r="H26" s="40"/>
      <c r="I26" s="40"/>
      <c r="J26" s="40"/>
      <c r="K26" s="40"/>
      <c r="L26" s="104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4:22" ht="12.75">
      <c r="D27" s="57"/>
      <c r="E27" s="57"/>
      <c r="F27" s="40"/>
      <c r="G27" s="40"/>
      <c r="H27" s="40"/>
      <c r="I27" s="40"/>
      <c r="J27" s="40"/>
      <c r="K27" s="4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4:22" ht="12.75">
      <c r="D28" s="57"/>
      <c r="E28" s="57"/>
      <c r="F28" s="40"/>
      <c r="G28" s="40"/>
      <c r="H28" s="40"/>
      <c r="I28" s="40"/>
      <c r="J28" s="40"/>
      <c r="K28" s="40"/>
      <c r="L28" s="57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4:22" ht="12.75">
      <c r="D29" s="57"/>
      <c r="E29" s="57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4:22" ht="12.75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4:22" ht="12.75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ht="12.75">
      <c r="L32"/>
    </row>
    <row r="33" ht="12.75">
      <c r="L33"/>
    </row>
    <row r="34" ht="12.75">
      <c r="L34"/>
    </row>
  </sheetData>
  <sheetProtection/>
  <mergeCells count="27">
    <mergeCell ref="B7:B13"/>
    <mergeCell ref="C7:E11"/>
    <mergeCell ref="L7:L13"/>
    <mergeCell ref="G12:G13"/>
    <mergeCell ref="C12:C13"/>
    <mergeCell ref="H12:J12"/>
    <mergeCell ref="D12:D13"/>
    <mergeCell ref="E12:E13"/>
    <mergeCell ref="F12:F13"/>
    <mergeCell ref="F7:J11"/>
    <mergeCell ref="N10:N13"/>
    <mergeCell ref="O10:O13"/>
    <mergeCell ref="M10:M13"/>
    <mergeCell ref="U10:U13"/>
    <mergeCell ref="M8:R8"/>
    <mergeCell ref="S8:V9"/>
    <mergeCell ref="R9:R13"/>
    <mergeCell ref="B1:V1"/>
    <mergeCell ref="B2:V2"/>
    <mergeCell ref="B3:V3"/>
    <mergeCell ref="P10:P13"/>
    <mergeCell ref="B4:V4"/>
    <mergeCell ref="S10:S13"/>
    <mergeCell ref="T10:T13"/>
    <mergeCell ref="V10:V13"/>
    <mergeCell ref="Q10:Q13"/>
    <mergeCell ref="M7:V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U27"/>
  <sheetViews>
    <sheetView zoomScale="120" zoomScaleNormal="120" zoomScalePageLayoutView="0" workbookViewId="0" topLeftCell="A10">
      <selection activeCell="M22" sqref="M22"/>
    </sheetView>
  </sheetViews>
  <sheetFormatPr defaultColWidth="9.140625" defaultRowHeight="12.75"/>
  <cols>
    <col min="1" max="1" width="1.7109375" style="0" customWidth="1"/>
    <col min="2" max="2" width="7.28125" style="0" customWidth="1"/>
    <col min="3" max="14" width="4.7109375" style="0" customWidth="1"/>
    <col min="15" max="15" width="6.57421875" style="0" customWidth="1"/>
    <col min="16" max="16" width="3.421875" style="0" customWidth="1"/>
    <col min="17" max="17" width="3.8515625" style="0" customWidth="1"/>
    <col min="18" max="18" width="7.421875" style="0" customWidth="1"/>
    <col min="19" max="19" width="7.28125" style="0" customWidth="1"/>
    <col min="20" max="20" width="22.140625" style="0" customWidth="1"/>
    <col min="21" max="21" width="10.00390625" style="58" customWidth="1"/>
    <col min="22" max="22" width="12.28125" style="0" customWidth="1"/>
  </cols>
  <sheetData>
    <row r="1" spans="10:21" ht="15">
      <c r="J1" s="256" t="s">
        <v>0</v>
      </c>
      <c r="K1" s="256"/>
      <c r="L1" s="256"/>
      <c r="M1" s="256"/>
      <c r="N1" s="256"/>
      <c r="O1" s="256"/>
      <c r="T1" s="265"/>
      <c r="U1" s="265"/>
    </row>
    <row r="2" spans="10:21" ht="12.75">
      <c r="J2" s="257" t="s">
        <v>22</v>
      </c>
      <c r="K2" s="258"/>
      <c r="L2" s="258"/>
      <c r="M2" s="258"/>
      <c r="N2" s="258"/>
      <c r="O2" s="258"/>
      <c r="T2" s="265"/>
      <c r="U2" s="265"/>
    </row>
    <row r="4" spans="10:15" ht="12.75">
      <c r="J4" s="175" t="s">
        <v>23</v>
      </c>
      <c r="K4" s="258"/>
      <c r="L4" s="258"/>
      <c r="M4" s="258"/>
      <c r="N4" s="258"/>
      <c r="O4" s="258"/>
    </row>
    <row r="5" ht="14.25" customHeight="1"/>
    <row r="6" spans="2:20" ht="12.75">
      <c r="B6" s="249" t="s">
        <v>37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2:20" ht="10.5" customHeight="1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2:17" ht="6.7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5"/>
    </row>
    <row r="9" spans="2:20" ht="14.25" customHeight="1">
      <c r="B9" s="255" t="s">
        <v>110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ht="13.5" customHeight="1" thickBot="1">
      <c r="R10" s="5"/>
    </row>
    <row r="11" spans="2:21" ht="13.5" customHeight="1" thickTop="1">
      <c r="B11" s="44"/>
      <c r="C11" s="270" t="s">
        <v>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  <c r="O11" s="44"/>
      <c r="Q11" s="259" t="s">
        <v>26</v>
      </c>
      <c r="R11" s="260"/>
      <c r="S11" s="260"/>
      <c r="T11" s="260"/>
      <c r="U11" s="267">
        <f>spoglio!M20</f>
        <v>1651</v>
      </c>
    </row>
    <row r="12" spans="2:21" ht="13.5" customHeight="1">
      <c r="B12" s="45"/>
      <c r="C12" s="250">
        <v>1</v>
      </c>
      <c r="D12" s="250">
        <v>2</v>
      </c>
      <c r="E12" s="250">
        <v>3</v>
      </c>
      <c r="F12" s="250">
        <v>4</v>
      </c>
      <c r="G12" s="250">
        <v>5</v>
      </c>
      <c r="H12" s="250">
        <v>6</v>
      </c>
      <c r="I12" s="250">
        <v>7</v>
      </c>
      <c r="J12" s="250">
        <v>8</v>
      </c>
      <c r="K12" s="250">
        <v>9</v>
      </c>
      <c r="L12" s="250">
        <v>10</v>
      </c>
      <c r="M12" s="250">
        <v>11</v>
      </c>
      <c r="N12" s="250">
        <v>12</v>
      </c>
      <c r="O12" s="45"/>
      <c r="Q12" s="261"/>
      <c r="R12" s="262"/>
      <c r="S12" s="262"/>
      <c r="T12" s="262"/>
      <c r="U12" s="268"/>
    </row>
    <row r="13" spans="2:21" ht="9" customHeight="1" thickBot="1">
      <c r="B13" s="45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45"/>
      <c r="Q13" s="263"/>
      <c r="R13" s="264"/>
      <c r="S13" s="264"/>
      <c r="T13" s="264"/>
      <c r="U13" s="269"/>
    </row>
    <row r="14" spans="2:15" ht="7.5" customHeight="1" thickTop="1">
      <c r="B14" s="46"/>
      <c r="C14" s="42">
        <f>12-((C22&gt;D22)+(C22&gt;E22)+(C22&gt;F22)+(C22&gt;G22)+(C22&gt;H22)+(C22&gt;I22)+(C22&gt;J22)+(C22&gt;K22)+(C22&gt;L22)+(C22&gt;M22)+(C22&gt;N22))</f>
        <v>12</v>
      </c>
      <c r="D14" s="42">
        <f>12-((D22&gt;C22)+(D22&gt;E22)+(D22&gt;F22)+(D22&gt;G22)+(D22&gt;H22)+(D22&gt;I22)+(D22&gt;J22)+(D22&gt;K22)+(D22&gt;L22)+(D22&gt;M22)+(D22&gt;N22))</f>
        <v>10</v>
      </c>
      <c r="E14" s="42">
        <f>12-((E22&gt;C22)+(E22&gt;D22)+(E22&gt;F22)+(E22&gt;G22)+(E22&gt;H22)+(E22&gt;I22)+(E22&gt;J22)+(E22&gt;K22)+(E22&gt;L22)+(E22&gt;M22)+(E22&gt;N22))</f>
        <v>2</v>
      </c>
      <c r="F14" s="42">
        <f>12-((F22&gt;C22)+(F22&gt;D22)+(F22&gt;E22)+(F22&gt;G22)+(F22&gt;H22)+(F22&gt;I22)+(F22&gt;J22)+(F22&gt;K22)+(F22&gt;L22)+(F22&gt;M22)+(F22&gt;N22))</f>
        <v>1</v>
      </c>
      <c r="G14" s="42">
        <f>12-((G22&gt;C22)+(G22&gt;D22)+(G22&gt;E22)+(G22&gt;F22)+(G22&gt;H22)+(G22&gt;I22)+(G22&gt;J22)+(G22&gt;K22)+(G22&gt;L22)+(G22&gt;M22)+(G22&gt;N22))</f>
        <v>4</v>
      </c>
      <c r="H14" s="42">
        <f>12-((H22&gt;C22)+(H22&gt;D22)+(H22&gt;E22)+(H22&gt;F22)+(H22&gt;G22)+(H22&gt;I22)+(H22&gt;J22)+(H22&gt;K22)+(H22&gt;L22)+(H22&gt;M22)+(H22&gt;N22))</f>
        <v>5</v>
      </c>
      <c r="I14" s="42">
        <f>12-((I22&gt;C22)+(I22&gt;D22)+(I22&gt;E22)+(I22&gt;F22)+(I22&gt;G22)+(I22&gt;H22)+(I22&gt;J22)+(I22&gt;K22)+(I22&gt;L22)+(I22&gt;M22)+(I22&gt;N22))</f>
        <v>9</v>
      </c>
      <c r="J14" s="42">
        <f>12-((J22&gt;C22)+(J22&gt;D22)+(J22&gt;E22)+(J22&gt;F22)+(J22&gt;G22)+(J22&gt;H22)+(J22&gt;I22)+(J22&gt;K22)+(J22&gt;L22)+(J22&gt;M22)+(J22&gt;N22))</f>
        <v>11</v>
      </c>
      <c r="K14" s="42">
        <f>12-((K22&gt;C22)+(K22&gt;D22)+(K22&gt;E22)+(K22&gt;F22)+(K22&gt;G22)+(K22&gt;H22)+(K22&gt;I22)+(K22&gt;J22)+(K22&gt;L22)+(K22&gt;M22)+(K22&gt;N22))</f>
        <v>7</v>
      </c>
      <c r="L14" s="42">
        <f>12-((L22&gt;C22)+(L22&gt;D22)+(L22&gt;E22)+(L22&gt;F22)+(L22&gt;G22)+(L22&gt;H22)+(L22&gt;I22)+(L22&gt;J22)+(L22&gt;K22)+(L22&gt;M22)+(L22&gt;N22))</f>
        <v>3</v>
      </c>
      <c r="M14" s="42">
        <f>12-((M22&gt;C22)+(M22&gt;D22)+(M22&gt;E22)+(M22&gt;F22)+(M22&gt;G22)+(M22&gt;H22)+(M22&gt;I22)+(M22&gt;J22)+(M22&gt;K22)+(M22&gt;L22)+(M22&gt;N22))</f>
        <v>6</v>
      </c>
      <c r="N14" s="42">
        <f>12-((N22&gt;C22)+(N22&gt;D22)+(N22&gt;E22)+(N22&gt;F22)+(N22&gt;G22)+(N22&gt;H22)+(N22&gt;I22)+(N22&gt;J22)+(N22&gt;K22)+(N22&gt;L22)+(N22&gt;M22))</f>
        <v>8</v>
      </c>
      <c r="O14" s="46"/>
    </row>
    <row r="15" spans="2:21" ht="129" customHeight="1">
      <c r="B15" s="33" t="s">
        <v>2</v>
      </c>
      <c r="C15" s="6" t="s">
        <v>40</v>
      </c>
      <c r="D15" s="6" t="s">
        <v>41</v>
      </c>
      <c r="E15" s="6" t="s">
        <v>42</v>
      </c>
      <c r="F15" s="6" t="s">
        <v>43</v>
      </c>
      <c r="G15" s="6" t="s">
        <v>44</v>
      </c>
      <c r="H15" s="126" t="s">
        <v>49</v>
      </c>
      <c r="I15" s="6" t="s">
        <v>45</v>
      </c>
      <c r="J15" s="6" t="s">
        <v>46</v>
      </c>
      <c r="K15" s="6" t="s">
        <v>47</v>
      </c>
      <c r="L15" s="6" t="s">
        <v>48</v>
      </c>
      <c r="M15" s="6" t="s">
        <v>50</v>
      </c>
      <c r="N15" s="3" t="s">
        <v>51</v>
      </c>
      <c r="O15" s="34" t="s">
        <v>1</v>
      </c>
      <c r="Q15" s="252" t="s">
        <v>21</v>
      </c>
      <c r="R15" s="253"/>
      <c r="S15" s="253"/>
      <c r="T15" s="254"/>
      <c r="U15" s="59" t="s">
        <v>25</v>
      </c>
    </row>
    <row r="16" spans="2:21" ht="14.25" customHeight="1">
      <c r="B16" s="4">
        <v>1</v>
      </c>
      <c r="C16" s="62">
        <v>17</v>
      </c>
      <c r="D16" s="62">
        <v>23</v>
      </c>
      <c r="E16" s="62">
        <v>44</v>
      </c>
      <c r="F16" s="62">
        <v>72</v>
      </c>
      <c r="G16" s="62">
        <v>25</v>
      </c>
      <c r="H16" s="62">
        <v>17</v>
      </c>
      <c r="I16" s="62">
        <v>32</v>
      </c>
      <c r="J16" s="62">
        <v>17</v>
      </c>
      <c r="K16" s="62">
        <v>25</v>
      </c>
      <c r="L16" s="62">
        <v>50</v>
      </c>
      <c r="M16" s="62">
        <v>29</v>
      </c>
      <c r="N16" s="62">
        <v>64</v>
      </c>
      <c r="O16" s="75">
        <f aca="true" t="shared" si="0" ref="O16:O21">SUM(C16:N16)</f>
        <v>415</v>
      </c>
      <c r="Q16" s="36" t="str">
        <f>IF(R16&gt;0,"1")</f>
        <v>1</v>
      </c>
      <c r="R16" s="80" t="str">
        <f>IF(ISNA(HLOOKUP(1,C14:N16,2,FALSE)),"",HLOOKUP(1,C14:N16,2,FALSE))</f>
        <v>MARIA ROSA GRASSO</v>
      </c>
      <c r="S16" s="48"/>
      <c r="T16" s="49"/>
      <c r="U16" s="82" t="str">
        <f>IF(C14=1,C23,IF(D14=1,D23,IF(E14=1,E23,IF(F14=1,F23,IF(G14=1,G23,IF(H14=1,H23,IF(I14=1,I23,IF(J14=1,J23,))))))))&amp;IF(K14=1,K23,IF(L14=1,L23,IF(M14=1,M23,IF(N14=1,N23,""))))</f>
        <v>2053</v>
      </c>
    </row>
    <row r="17" spans="2:21" ht="14.25" customHeight="1">
      <c r="B17" s="64">
        <v>2</v>
      </c>
      <c r="C17" s="74">
        <v>9</v>
      </c>
      <c r="D17" s="74">
        <v>14</v>
      </c>
      <c r="E17" s="74">
        <v>39</v>
      </c>
      <c r="F17" s="74">
        <v>57</v>
      </c>
      <c r="G17" s="74">
        <v>30</v>
      </c>
      <c r="H17" s="74">
        <v>39</v>
      </c>
      <c r="I17" s="74">
        <v>31</v>
      </c>
      <c r="J17" s="74">
        <v>24</v>
      </c>
      <c r="K17" s="74">
        <v>26</v>
      </c>
      <c r="L17" s="74">
        <v>29</v>
      </c>
      <c r="M17" s="74">
        <v>38</v>
      </c>
      <c r="N17" s="74">
        <v>14</v>
      </c>
      <c r="O17" s="76">
        <f t="shared" si="0"/>
        <v>350</v>
      </c>
      <c r="Q17" s="37" t="str">
        <f>IF(R17&gt;0,"2")</f>
        <v>2</v>
      </c>
      <c r="R17" s="81" t="str">
        <f>IF(ISNA(HLOOKUP(2,C14:N16,2,FALSE)),"",HLOOKUP(2,C14:N16,2,FALSE))</f>
        <v>LUIGI FELLINE</v>
      </c>
      <c r="S17" s="51"/>
      <c r="T17" s="52"/>
      <c r="U17" s="83" t="str">
        <f>IF(C14=2,C23,IF(D14=2,D23,IF(E14=2,E23,IF(F14=2,F23,IF(G14=2,G23,IF(H14=2,H23,IF(I14=2,I23,IF(J14=2,J23,))))))))&amp;IF(K14=2,K23,IF(L14=2,L23,IF(M14=2,M23,IF(N14=2,N23,""))))</f>
        <v>1962</v>
      </c>
    </row>
    <row r="18" spans="2:21" ht="14.25" customHeight="1">
      <c r="B18" s="64">
        <v>3</v>
      </c>
      <c r="C18" s="65">
        <v>19</v>
      </c>
      <c r="D18" s="65">
        <v>24</v>
      </c>
      <c r="E18" s="65">
        <v>59</v>
      </c>
      <c r="F18" s="65">
        <v>65</v>
      </c>
      <c r="G18" s="65">
        <v>40</v>
      </c>
      <c r="H18" s="65">
        <v>36</v>
      </c>
      <c r="I18" s="65">
        <v>28</v>
      </c>
      <c r="J18" s="65">
        <v>27</v>
      </c>
      <c r="K18" s="65">
        <v>16</v>
      </c>
      <c r="L18" s="65">
        <v>22</v>
      </c>
      <c r="M18" s="65">
        <v>34</v>
      </c>
      <c r="N18" s="65">
        <v>11</v>
      </c>
      <c r="O18" s="76">
        <f t="shared" si="0"/>
        <v>381</v>
      </c>
      <c r="Q18" s="37" t="str">
        <f>IF(R18&gt;0,"3")</f>
        <v>3</v>
      </c>
      <c r="R18" s="81" t="str">
        <f>IF(ISNA(HLOOKUP(3,C14:N16,2,FALSE)),"",HLOOKUP(3,C14:N16,2,FALSE))</f>
        <v>ADDOLORATA RIA detta Ada</v>
      </c>
      <c r="S18" s="51"/>
      <c r="T18" s="52"/>
      <c r="U18" s="90" t="str">
        <f>IF(C14=3,C23,IF(D14=3,D23,IF(E14=3,E23,IF(F14=3,F23,IF(G14=3,G23,IF(H14=3,H23,IF(I14=3,I23,IF(J14=3,J23,))))))))&amp;IF(K14=3,K23,IF(L14=3,L23,IF(M14=3,M23,IF(N14=3,N23,""))))</f>
        <v>1885</v>
      </c>
    </row>
    <row r="19" spans="2:21" ht="14.25" customHeight="1">
      <c r="B19" s="64">
        <v>4</v>
      </c>
      <c r="C19" s="65">
        <v>35</v>
      </c>
      <c r="D19" s="65">
        <v>46</v>
      </c>
      <c r="E19" s="65">
        <v>74</v>
      </c>
      <c r="F19" s="65">
        <v>105</v>
      </c>
      <c r="G19" s="65">
        <v>62</v>
      </c>
      <c r="H19" s="65">
        <v>44</v>
      </c>
      <c r="I19" s="65">
        <v>22</v>
      </c>
      <c r="J19" s="65">
        <v>36</v>
      </c>
      <c r="K19" s="65">
        <v>33</v>
      </c>
      <c r="L19" s="65">
        <v>42</v>
      </c>
      <c r="M19" s="65">
        <v>28</v>
      </c>
      <c r="N19" s="65">
        <v>12</v>
      </c>
      <c r="O19" s="76">
        <f t="shared" si="0"/>
        <v>539</v>
      </c>
      <c r="Q19" s="37" t="str">
        <f>IF(R19&gt;0,"4")</f>
        <v>4</v>
      </c>
      <c r="R19" s="81" t="str">
        <f>IF(ISNA(HLOOKUP(4,C14:N16,2,FALSE)),"",HLOOKUP(4,C14:N16,2,FALSE))</f>
        <v>GABRIELLA MARRA</v>
      </c>
      <c r="S19" s="51"/>
      <c r="T19" s="52"/>
      <c r="U19" s="90" t="str">
        <f>IF(C14=4,C23,IF(D14=4,D23,IF(E14=4,E23,IF(F14=4,F23,IF(G14=4,G23,IF(H14=4,H23,IF(I14=4,I23,IF(J14=4,J23,))))))))&amp;IF(K14=4,K23,IF(L14=4,L23,IF(M14=4,M23,IF(N14=4,N23,""))))</f>
        <v>1871</v>
      </c>
    </row>
    <row r="20" spans="2:21" ht="14.25" customHeight="1">
      <c r="B20" s="64">
        <v>5</v>
      </c>
      <c r="C20" s="65">
        <v>5</v>
      </c>
      <c r="D20" s="65">
        <v>24</v>
      </c>
      <c r="E20" s="65">
        <v>54</v>
      </c>
      <c r="F20" s="65">
        <v>51</v>
      </c>
      <c r="G20" s="65">
        <v>38</v>
      </c>
      <c r="H20" s="65">
        <v>34</v>
      </c>
      <c r="I20" s="65">
        <v>28</v>
      </c>
      <c r="J20" s="65">
        <v>31</v>
      </c>
      <c r="K20" s="65">
        <v>41</v>
      </c>
      <c r="L20" s="65">
        <v>36</v>
      </c>
      <c r="M20" s="65">
        <v>34</v>
      </c>
      <c r="N20" s="65">
        <v>22</v>
      </c>
      <c r="O20" s="76">
        <f t="shared" si="0"/>
        <v>398</v>
      </c>
      <c r="Q20" s="37" t="str">
        <f>IF(R20&gt;0,"5")</f>
        <v>5</v>
      </c>
      <c r="R20" s="81" t="str">
        <f>IF(ISNA(HLOOKUP(5,C14:N16,2,FALSE)),"",HLOOKUP(5,C14:N16,2,FALSE))</f>
        <v>GIORGIO MASTRIA GIANFREDA detto Gino</v>
      </c>
      <c r="S20" s="51"/>
      <c r="T20" s="52"/>
      <c r="U20" s="90" t="str">
        <f>IF(C14=5,C23,IF(D14=5,D23,IF(E14=5,E23,IF(F14=5,F23,IF(G14=5,G23,IF(H14=5,H23,IF(I14=5,I23,IF(J14=5,J23,))))))))&amp;IF(K14=5,K23,IF(L14=5,L23,IF(M14=5,M23,IF(N14=5,N23,""))))</f>
        <v>1849</v>
      </c>
    </row>
    <row r="21" spans="2:21" ht="14.25" customHeight="1">
      <c r="B21" s="67">
        <v>6</v>
      </c>
      <c r="C21" s="68">
        <v>7</v>
      </c>
      <c r="D21" s="68">
        <v>23</v>
      </c>
      <c r="E21" s="68">
        <v>41</v>
      </c>
      <c r="F21" s="68">
        <v>52</v>
      </c>
      <c r="G21" s="68">
        <v>25</v>
      </c>
      <c r="H21" s="68">
        <v>28</v>
      </c>
      <c r="I21" s="68">
        <v>15</v>
      </c>
      <c r="J21" s="68">
        <v>14</v>
      </c>
      <c r="K21" s="68">
        <v>27</v>
      </c>
      <c r="L21" s="68">
        <v>55</v>
      </c>
      <c r="M21" s="68">
        <v>12</v>
      </c>
      <c r="N21" s="68">
        <v>40</v>
      </c>
      <c r="O21" s="77">
        <f t="shared" si="0"/>
        <v>339</v>
      </c>
      <c r="Q21" s="37" t="str">
        <f>IF(R21&gt;0,"6")</f>
        <v>6</v>
      </c>
      <c r="R21" s="81" t="str">
        <f>IF(ISNA(HLOOKUP(6,C14:N16,2,FALSE)),"",HLOOKUP(6,C14:N16,2,FALSE))</f>
        <v>GABRIELLA RIGLIACO</v>
      </c>
      <c r="S21" s="51"/>
      <c r="T21" s="52"/>
      <c r="U21" s="90" t="str">
        <f>IF(C14=6,C23,IF(D14=6,D23,IF(E14=6,E23,IF(F14=6,F23,IF(G14=6,G23,IF(H14=6,H23,IF(I14=6,I23,IF(J14=6,J23,))))))))&amp;IF(K14=6,K23,IF(L14=6,L23,IF(M14=6,M23,IF(N14=6,N23,""))))</f>
        <v>1826</v>
      </c>
    </row>
    <row r="22" spans="2:21" ht="14.25" customHeight="1">
      <c r="B22" s="70" t="s">
        <v>1</v>
      </c>
      <c r="C22" s="114">
        <f aca="true" t="shared" si="1" ref="C22:O22">SUM(C16:C21)</f>
        <v>92</v>
      </c>
      <c r="D22" s="114">
        <f t="shared" si="1"/>
        <v>154</v>
      </c>
      <c r="E22" s="114">
        <f t="shared" si="1"/>
        <v>311</v>
      </c>
      <c r="F22" s="114">
        <f t="shared" si="1"/>
        <v>402</v>
      </c>
      <c r="G22" s="114">
        <f t="shared" si="1"/>
        <v>220</v>
      </c>
      <c r="H22" s="114">
        <f t="shared" si="1"/>
        <v>198</v>
      </c>
      <c r="I22" s="114">
        <f t="shared" si="1"/>
        <v>156</v>
      </c>
      <c r="J22" s="114">
        <f t="shared" si="1"/>
        <v>149</v>
      </c>
      <c r="K22" s="114">
        <f t="shared" si="1"/>
        <v>168</v>
      </c>
      <c r="L22" s="114">
        <f t="shared" si="1"/>
        <v>234</v>
      </c>
      <c r="M22" s="114">
        <f t="shared" si="1"/>
        <v>175</v>
      </c>
      <c r="N22" s="115">
        <f t="shared" si="1"/>
        <v>163</v>
      </c>
      <c r="O22" s="78">
        <f t="shared" si="1"/>
        <v>2422</v>
      </c>
      <c r="Q22" s="37" t="str">
        <f>IF(R22&gt;0,"7")</f>
        <v>7</v>
      </c>
      <c r="R22" s="81" t="str">
        <f>IF(ISNA(HLOOKUP(7,C14:N16,2,FALSE)),"",HLOOKUP(7,C14:N16,2,FALSE))</f>
        <v>GIUSEPPE PERRONE</v>
      </c>
      <c r="S22" s="51"/>
      <c r="T22" s="52"/>
      <c r="U22" s="90" t="str">
        <f>IF(C14=7,C23,IF(D14=7,D23,IF(E14=7,E23,IF(F14=7,F23,IF(G14=7,G23,IF(H14=7,H23,IF(I14=7,I23,IF(J14=7,J23,))))))))&amp;IF(K14=7,K23,IF(L14=7,L23,IF(M14=7,M23,IF(N14=7,N23,""))))</f>
        <v>1819</v>
      </c>
    </row>
    <row r="23" spans="2:21" ht="14.25" customHeight="1">
      <c r="B23" s="71" t="s">
        <v>24</v>
      </c>
      <c r="C23" s="116">
        <f>U11+C22</f>
        <v>1743</v>
      </c>
      <c r="D23" s="116">
        <f>U11+D22</f>
        <v>1805</v>
      </c>
      <c r="E23" s="116">
        <f>U11+E22</f>
        <v>1962</v>
      </c>
      <c r="F23" s="116">
        <f>U11+F22</f>
        <v>2053</v>
      </c>
      <c r="G23" s="116">
        <f>U11+G22</f>
        <v>1871</v>
      </c>
      <c r="H23" s="116">
        <f>U11+H22</f>
        <v>1849</v>
      </c>
      <c r="I23" s="116">
        <f>U11+I22</f>
        <v>1807</v>
      </c>
      <c r="J23" s="116">
        <f>U11+J22</f>
        <v>1800</v>
      </c>
      <c r="K23" s="116">
        <f>U11+K22</f>
        <v>1819</v>
      </c>
      <c r="L23" s="116">
        <f>U11+L22</f>
        <v>1885</v>
      </c>
      <c r="M23" s="116">
        <f>U11+M22</f>
        <v>1826</v>
      </c>
      <c r="N23" s="116">
        <f>U11+N22</f>
        <v>1814</v>
      </c>
      <c r="O23" s="117">
        <f>O22+U11</f>
        <v>4073</v>
      </c>
      <c r="Q23" s="37" t="str">
        <f>IF(R23&gt;0,"8")</f>
        <v>8</v>
      </c>
      <c r="R23" s="81" t="str">
        <f>IF(ISNA(HLOOKUP(8,C14:N16,2,FALSE)),"",HLOOKUP(8,C14:N16,2,FALSE))</f>
        <v>MASSIMO SABATO</v>
      </c>
      <c r="S23" s="51"/>
      <c r="T23" s="52"/>
      <c r="U23" s="90" t="str">
        <f>IF(C14=8,C23,IF(D14=8,D23,IF(E14=8,E23,IF(F14=8,F23,IF(G14=8,G23,IF(H14=8,H23,IF(I14=8,I23,IF(J14=8,J23,))))))))&amp;IF(K14=8,K23,IF(L14=8,L23,IF(M14=8,M23,IF(N14=8,N23,""))))</f>
        <v>1814</v>
      </c>
    </row>
    <row r="24" spans="2:21" ht="14.25" customHeight="1">
      <c r="B24" s="72"/>
      <c r="C24" s="94">
        <f>IF(C23&gt;U11*2,"ERRORE","")</f>
      </c>
      <c r="D24" s="94">
        <f>IF(D23&gt;U11*2,"ERRORE","")</f>
      </c>
      <c r="E24" s="94">
        <f>IF(E23&gt;U11*2,"ERRORE","")</f>
      </c>
      <c r="F24" s="94">
        <f>IF(F23&gt;U11*2,"ERRORE","")</f>
      </c>
      <c r="G24" s="94">
        <f>IF(G23&gt;U11*2,"ERRORE","")</f>
      </c>
      <c r="H24" s="94">
        <f>IF(H23&gt;U11*2,"ERRORE","")</f>
      </c>
      <c r="I24" s="94">
        <f>IF(I23&gt;U11*2,"ERRORE","")</f>
      </c>
      <c r="J24" s="94">
        <f>IF(J23&gt;U11*2,"ERRORE","")</f>
      </c>
      <c r="K24" s="94">
        <f>IF(K23&gt;U11*2,"ERRORE","")</f>
      </c>
      <c r="L24" s="94">
        <f>IF(L23&gt;U11*2,"ERRORE","")</f>
      </c>
      <c r="M24" s="94">
        <f>IF(M23&gt;U11*2,"ERRORE","")</f>
      </c>
      <c r="N24" s="94">
        <f>IF(N23&gt;U11*2,"ERRORE","")</f>
      </c>
      <c r="O24" s="94"/>
      <c r="Q24" s="38" t="str">
        <f>IF(R24&gt;0,"9")</f>
        <v>9</v>
      </c>
      <c r="R24" s="100" t="str">
        <f>IF(ISNA(HLOOKUP(9,C14:N16,2,FALSE)),"",HLOOKUP(9,C14:N16,2,FALSE))</f>
        <v>GIOVANNI MONTAGNA</v>
      </c>
      <c r="S24" s="53"/>
      <c r="T24" s="54"/>
      <c r="U24" s="90" t="str">
        <f>IF(C14=9,C23,IF(D14=9,D23,IF(E14=9,E23,IF(F14=9,F23,IF(G14=9,G23,IF(H14=9,H23,IF(I14=9,I23,IF(J14=9,J23,))))))))&amp;IF(K14=9,K23,IF(L14=9,L23,IF(M14=9,M23,IF(N14=9,N23,""))))</f>
        <v>1807</v>
      </c>
    </row>
    <row r="25" spans="2:21" ht="14.25" customHeight="1">
      <c r="B25" s="9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Q25" s="38" t="str">
        <f>IF(R25&gt;0,"10")</f>
        <v>10</v>
      </c>
      <c r="R25" s="101" t="str">
        <f>IF(ISNA(HLOOKUP(10,C14:N16,2,FALSE)),"",HLOOKUP(10,C14:N16,2,FALSE))</f>
        <v>ROBERTO CONTINI</v>
      </c>
      <c r="S25" s="53"/>
      <c r="T25" s="54"/>
      <c r="U25" s="90" t="str">
        <f>IF(C14=10,C23,IF(D14=10,D23,IF(E14=10,E23,IF(F14=10,F23,IF(G14=10,G23,IF(H14=10,H23,IF(I14=10,I23,IF(J14=10,J23,))))))))&amp;IF(K14=10,K23,IF(L14=10,L23,IF(M14=10,M23,IF(N14=10,N23,""))))</f>
        <v>1805</v>
      </c>
    </row>
    <row r="26" spans="2:21" ht="12.75">
      <c r="B26" s="243" t="s">
        <v>52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Q26" s="38" t="str">
        <f>IF(R26&gt;0,"11")</f>
        <v>11</v>
      </c>
      <c r="R26" s="100" t="str">
        <f>IF(ISNA(HLOOKUP(11,C14:N16,2,FALSE)),"",HLOOKUP(11,C14:N16,2,FALSE))</f>
        <v>GIANCARLO PASANISI</v>
      </c>
      <c r="S26" s="53"/>
      <c r="T26" s="54"/>
      <c r="U26" s="90" t="str">
        <f>IF(C14=11,C23,IF(D14=11,D23,IF(E14=11,E23,IF(F14=11,F23,IF(G14=11,G23,IF(H14=11,H23,IF(I14=11,I23,IF(J14=11,J23,))))))))&amp;IF(K14=11,K23,IF(L14=11,L23,IF(M14=11,M23,IF(N14=11,N23,""))))</f>
        <v>1800</v>
      </c>
    </row>
    <row r="27" spans="2:21" ht="12.75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  <c r="Q27" s="39" t="str">
        <f>IF(R27&gt;0,"12")</f>
        <v>12</v>
      </c>
      <c r="R27" s="102" t="str">
        <f>IF(ISNA(HLOOKUP(12,C14:N16,2,FALSE)),"",HLOOKUP(12,C14:N16,2,FALSE))</f>
        <v>ANTONIO ROBERTO BRIGANTE</v>
      </c>
      <c r="S27" s="55"/>
      <c r="T27" s="56"/>
      <c r="U27" s="91" t="str">
        <f>IF(C14=12,C23,IF(D14=12,D23,IF(E14=12,E23,IF(F14=12,F23,IF(G14=12,G23,IF(H14=12,H23,IF(I14=12,I23,IF(J14=12,J23,))))))))&amp;IF(K14=12,K23,IF(L14=12,L23,IF(M14=12,M23,IF(N14=12,N23,""))))</f>
        <v>1743</v>
      </c>
    </row>
  </sheetData>
  <sheetProtection/>
  <mergeCells count="24">
    <mergeCell ref="C25:O25"/>
    <mergeCell ref="U11:U13"/>
    <mergeCell ref="N12:N13"/>
    <mergeCell ref="J12:J13"/>
    <mergeCell ref="M12:M13"/>
    <mergeCell ref="H12:H13"/>
    <mergeCell ref="C11:N11"/>
    <mergeCell ref="J1:O1"/>
    <mergeCell ref="J2:O2"/>
    <mergeCell ref="J4:O4"/>
    <mergeCell ref="Q11:T13"/>
    <mergeCell ref="K12:K13"/>
    <mergeCell ref="L12:L13"/>
    <mergeCell ref="T1:U2"/>
    <mergeCell ref="B26:O27"/>
    <mergeCell ref="B6:T7"/>
    <mergeCell ref="D12:D13"/>
    <mergeCell ref="E12:E13"/>
    <mergeCell ref="Q15:T15"/>
    <mergeCell ref="B9:T9"/>
    <mergeCell ref="G12:G13"/>
    <mergeCell ref="I12:I13"/>
    <mergeCell ref="F12:F13"/>
    <mergeCell ref="C12:C13"/>
  </mergeCells>
  <conditionalFormatting sqref="R16:R23 R10">
    <cfRule type="cellIs" priority="15" dxfId="2" operator="notEqual" stopIfTrue="1">
      <formula>0</formula>
    </cfRule>
  </conditionalFormatting>
  <conditionalFormatting sqref="R26">
    <cfRule type="cellIs" priority="16" dxfId="1" operator="greaterThan" stopIfTrue="1">
      <formula>8</formula>
    </cfRule>
  </conditionalFormatting>
  <conditionalFormatting sqref="C24">
    <cfRule type="cellIs" priority="14" dxfId="0" operator="equal" stopIfTrue="1">
      <formula>"ERRORE"</formula>
    </cfRule>
  </conditionalFormatting>
  <conditionalFormatting sqref="E24">
    <cfRule type="cellIs" priority="13" dxfId="0" operator="equal" stopIfTrue="1">
      <formula>"ERRORE"</formula>
    </cfRule>
  </conditionalFormatting>
  <conditionalFormatting sqref="D24">
    <cfRule type="cellIs" priority="12" dxfId="0" operator="equal" stopIfTrue="1">
      <formula>"ERRORE"</formula>
    </cfRule>
  </conditionalFormatting>
  <conditionalFormatting sqref="F21">
    <cfRule type="cellIs" priority="11" dxfId="0" operator="equal" stopIfTrue="1">
      <formula>"ERRORE"</formula>
    </cfRule>
  </conditionalFormatting>
  <conditionalFormatting sqref="F24">
    <cfRule type="cellIs" priority="10" dxfId="0" operator="equal" stopIfTrue="1">
      <formula>"ERRORE"</formula>
    </cfRule>
  </conditionalFormatting>
  <conditionalFormatting sqref="G24">
    <cfRule type="cellIs" priority="9" dxfId="0" operator="equal" stopIfTrue="1">
      <formula>"ERRORE"</formula>
    </cfRule>
  </conditionalFormatting>
  <conditionalFormatting sqref="H24">
    <cfRule type="cellIs" priority="8" dxfId="0" operator="equal" stopIfTrue="1">
      <formula>"ERRORE"</formula>
    </cfRule>
  </conditionalFormatting>
  <conditionalFormatting sqref="I24">
    <cfRule type="cellIs" priority="7" dxfId="0" operator="equal" stopIfTrue="1">
      <formula>"ERRORE"</formula>
    </cfRule>
  </conditionalFormatting>
  <conditionalFormatting sqref="J24">
    <cfRule type="cellIs" priority="6" dxfId="0" operator="equal" stopIfTrue="1">
      <formula>"ERRORE"</formula>
    </cfRule>
  </conditionalFormatting>
  <conditionalFormatting sqref="K24">
    <cfRule type="cellIs" priority="5" dxfId="0" operator="equal" stopIfTrue="1">
      <formula>"ERRORE"</formula>
    </cfRule>
  </conditionalFormatting>
  <conditionalFormatting sqref="L24">
    <cfRule type="cellIs" priority="4" dxfId="0" operator="equal" stopIfTrue="1">
      <formula>"ERRORE"</formula>
    </cfRule>
  </conditionalFormatting>
  <conditionalFormatting sqref="M24">
    <cfRule type="cellIs" priority="3" dxfId="0" operator="equal" stopIfTrue="1">
      <formula>"ERRORE"</formula>
    </cfRule>
  </conditionalFormatting>
  <conditionalFormatting sqref="N24">
    <cfRule type="cellIs" priority="2" dxfId="0" operator="equal" stopIfTrue="1">
      <formula>"ERRORE"</formula>
    </cfRule>
  </conditionalFormatting>
  <conditionalFormatting sqref="O24">
    <cfRule type="cellIs" priority="1" dxfId="0" operator="equal" stopIfTrue="1">
      <formula>"ERRORE"</formula>
    </cfRule>
  </conditionalFormatting>
  <printOptions/>
  <pageMargins left="0.7480314960629921" right="0.7480314960629921" top="0.984251968503937" bottom="0.984251968503937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U27"/>
  <sheetViews>
    <sheetView zoomScale="120" zoomScaleNormal="120" zoomScalePageLayoutView="0" workbookViewId="0" topLeftCell="A10">
      <selection activeCell="B9" sqref="B9:T9"/>
    </sheetView>
  </sheetViews>
  <sheetFormatPr defaultColWidth="9.140625" defaultRowHeight="12.75"/>
  <cols>
    <col min="1" max="1" width="7.421875" style="0" customWidth="1"/>
    <col min="2" max="2" width="7.28125" style="0" customWidth="1"/>
    <col min="3" max="14" width="4.7109375" style="0" customWidth="1"/>
    <col min="15" max="15" width="6.57421875" style="0" customWidth="1"/>
    <col min="16" max="16" width="5.140625" style="0" customWidth="1"/>
    <col min="17" max="17" width="3.8515625" style="0" customWidth="1"/>
    <col min="18" max="18" width="7.421875" style="0" customWidth="1"/>
    <col min="19" max="19" width="7.28125" style="0" customWidth="1"/>
    <col min="20" max="20" width="11.8515625" style="0" customWidth="1"/>
    <col min="21" max="21" width="10.00390625" style="0" bestFit="1" customWidth="1"/>
  </cols>
  <sheetData>
    <row r="1" spans="10:15" ht="12.75">
      <c r="J1" s="258" t="s">
        <v>0</v>
      </c>
      <c r="K1" s="273"/>
      <c r="L1" s="273"/>
      <c r="M1" s="273"/>
      <c r="N1" s="273"/>
      <c r="O1" s="273"/>
    </row>
    <row r="2" spans="10:15" ht="12.75">
      <c r="J2" s="277" t="s">
        <v>22</v>
      </c>
      <c r="K2" s="273"/>
      <c r="L2" s="273"/>
      <c r="M2" s="273"/>
      <c r="N2" s="273"/>
      <c r="O2" s="273"/>
    </row>
    <row r="4" spans="10:15" ht="12.75">
      <c r="J4" s="274" t="s">
        <v>23</v>
      </c>
      <c r="K4" s="274"/>
      <c r="L4" s="274"/>
      <c r="M4" s="274"/>
      <c r="N4" s="274"/>
      <c r="O4" s="274"/>
    </row>
    <row r="5" ht="9.75" customHeight="1"/>
    <row r="6" spans="2:20" ht="12.75">
      <c r="B6" s="249" t="s">
        <v>31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2:20" ht="9" customHeight="1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2:17" ht="9.7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5"/>
    </row>
    <row r="9" spans="2:20" ht="14.25" customHeight="1">
      <c r="B9" s="255" t="s">
        <v>28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ht="12.75" customHeight="1" thickBot="1">
      <c r="R10" s="5"/>
    </row>
    <row r="11" spans="2:21" ht="13.5" customHeight="1" thickTop="1">
      <c r="B11" s="44"/>
      <c r="C11" s="270" t="s">
        <v>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  <c r="O11" s="44"/>
      <c r="Q11" s="259" t="s">
        <v>26</v>
      </c>
      <c r="R11" s="260"/>
      <c r="S11" s="260"/>
      <c r="T11" s="260"/>
      <c r="U11" s="267">
        <f>spoglio!N20</f>
        <v>362</v>
      </c>
    </row>
    <row r="12" spans="2:21" ht="13.5" customHeight="1">
      <c r="B12" s="45"/>
      <c r="C12" s="250">
        <v>1</v>
      </c>
      <c r="D12" s="250">
        <v>2</v>
      </c>
      <c r="E12" s="250">
        <v>3</v>
      </c>
      <c r="F12" s="250">
        <v>4</v>
      </c>
      <c r="G12" s="250">
        <v>5</v>
      </c>
      <c r="H12" s="250">
        <v>6</v>
      </c>
      <c r="I12" s="250">
        <v>7</v>
      </c>
      <c r="J12" s="250">
        <v>8</v>
      </c>
      <c r="K12" s="250">
        <v>9</v>
      </c>
      <c r="L12" s="250">
        <v>10</v>
      </c>
      <c r="M12" s="250">
        <v>11</v>
      </c>
      <c r="N12" s="250">
        <v>12</v>
      </c>
      <c r="O12" s="45"/>
      <c r="Q12" s="261"/>
      <c r="R12" s="262"/>
      <c r="S12" s="262"/>
      <c r="T12" s="262"/>
      <c r="U12" s="268"/>
    </row>
    <row r="13" spans="2:21" ht="14.25" customHeight="1" thickBot="1">
      <c r="B13" s="45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45"/>
      <c r="Q13" s="263"/>
      <c r="R13" s="264"/>
      <c r="S13" s="264"/>
      <c r="T13" s="264"/>
      <c r="U13" s="269"/>
    </row>
    <row r="14" spans="2:15" ht="14.25" customHeight="1" thickTop="1">
      <c r="B14" s="46"/>
      <c r="C14" s="42">
        <f>12-((C22&gt;D22)+(C22&gt;E22)+(C22&gt;F22)+(C22&gt;G22)+(C22&gt;H22)+(C22&gt;I22)+(C22&gt;J22)+(C22&gt;K22)+(C22&gt;L22)+(C22&gt;M22)+(C22&gt;N22))</f>
        <v>10</v>
      </c>
      <c r="D14" s="42">
        <f>12-((D22&gt;C22)+(D22&gt;E22)+(D22&gt;F22)+(D22&gt;G22)+(D22&gt;H22)+(D22&gt;I22)+(D22&gt;J22)+(D22&gt;K22)+(D22&gt;L22)+(D22&gt;M22)+(D22&gt;N22))</f>
        <v>6</v>
      </c>
      <c r="E14" s="42">
        <f>12-((E22&gt;C22)+(E22&gt;D22)+(E22&gt;F22)+(E22&gt;G22)+(E22&gt;H22)+(E22&gt;I22)+(E22&gt;J22)+(E22&gt;K22)+(E22&gt;L22)+(E22&gt;M22)+(E22&gt;N22))</f>
        <v>1</v>
      </c>
      <c r="F14" s="42">
        <f>12-((F22&gt;C22)+(F22&gt;D22)+(F22&gt;E22)+(F22&gt;G22)+(F22&gt;H22)+(F22&gt;I22)+(F22&gt;J22)+(F22&gt;K22)+(F22&gt;L22)+(F22&gt;M22)+(F22&gt;N22))</f>
        <v>10</v>
      </c>
      <c r="G14" s="42">
        <f>12-((G22&gt;C22)+(G22&gt;D22)+(G22&gt;E22)+(G22&gt;F22)+(G22&gt;H22)+(G22&gt;I22)+(G22&gt;J22)+(G22&gt;K22)+(G22&gt;L22)+(G22&gt;M22)+(G22&gt;N22))</f>
        <v>12</v>
      </c>
      <c r="H14" s="42">
        <f>12-((H22&gt;C22)+(H22&gt;D22)+(H22&gt;E22)+(H22&gt;F22)+(H22&gt;G22)+(H22&gt;I22)+(H22&gt;J22)+(H22&gt;K22)+(H22&gt;L22)+(H22&gt;M22)+(H22&gt;N22))</f>
        <v>5</v>
      </c>
      <c r="I14" s="42">
        <f>12-((I22&gt;C22)+(I22&gt;D22)+(I22&gt;E22)+(I22&gt;F22)+(I22&gt;G22)+(I22&gt;H22)+(I22&gt;J22)+(I22&gt;K22)+(I22&gt;L22)+(I22&gt;M22)+(I22&gt;N22))</f>
        <v>4</v>
      </c>
      <c r="J14" s="42">
        <f>12-((J22&gt;C22)+(J22&gt;D22)+(J22&gt;E22)+(J22&gt;F22)+(J22&gt;G22)+(J22&gt;H22)+(J22&gt;I22)+(J22&gt;K22)+(J22&gt;L22)+(J22&gt;M22)+(J22&gt;N22))</f>
        <v>2</v>
      </c>
      <c r="K14" s="42">
        <f>12-((K22&gt;C22)+(K22&gt;D22)+(K22&gt;E22)+(K22&gt;F22)+(K22&gt;G22)+(K22&gt;H22)+(K22&gt;I22)+(K22&gt;J22)+(K22&gt;L22)+(K22&gt;M22)+(K22&gt;N22))</f>
        <v>7</v>
      </c>
      <c r="L14" s="42">
        <f>12-((L22&gt;C22)+(L22&gt;D22)+(L22&gt;E22)+(L22&gt;F22)+(L22&gt;G22)+(L22&gt;H22)+(L22&gt;I22)+(L22&gt;J22)+(L22&gt;K22)+(L22&gt;M22)+(L22&gt;N22))</f>
        <v>11</v>
      </c>
      <c r="M14" s="42">
        <f>12-((M22&gt;C22)+(M22&gt;D22)+(M22&gt;E22)+(M22&gt;F22)+(M22&gt;G22)+(M22&gt;H22)+(M22&gt;I22)+(M22&gt;J22)+(M22&gt;K22)+(M22&gt;L22)+(M22&gt;N22))</f>
        <v>8</v>
      </c>
      <c r="N14" s="42">
        <f>12-((N22&gt;C22)+(N22&gt;D22)+(N22&gt;E22)+(N22&gt;F22)+(N22&gt;G22)+(N22&gt;H22)+(N22&gt;I22)+(N22&gt;J22)+(N22&gt;K22)+(N22&gt;L22)+(N22&gt;M22))</f>
        <v>3</v>
      </c>
      <c r="O14" s="46"/>
    </row>
    <row r="15" spans="2:21" ht="117.75" customHeight="1">
      <c r="B15" s="33" t="s">
        <v>2</v>
      </c>
      <c r="C15" s="6" t="s">
        <v>53</v>
      </c>
      <c r="D15" s="6" t="s">
        <v>54</v>
      </c>
      <c r="E15" s="6" t="s">
        <v>55</v>
      </c>
      <c r="F15" s="6" t="s">
        <v>56</v>
      </c>
      <c r="G15" s="6" t="s">
        <v>57</v>
      </c>
      <c r="H15" s="6" t="s">
        <v>107</v>
      </c>
      <c r="I15" s="6" t="s">
        <v>58</v>
      </c>
      <c r="J15" s="6" t="s">
        <v>59</v>
      </c>
      <c r="K15" s="6" t="s">
        <v>60</v>
      </c>
      <c r="L15" s="6" t="s">
        <v>61</v>
      </c>
      <c r="M15" s="6" t="s">
        <v>62</v>
      </c>
      <c r="N15" s="3" t="s">
        <v>63</v>
      </c>
      <c r="O15" s="34" t="s">
        <v>1</v>
      </c>
      <c r="Q15" s="252" t="s">
        <v>21</v>
      </c>
      <c r="R15" s="275"/>
      <c r="S15" s="275"/>
      <c r="T15" s="276"/>
      <c r="U15" s="59" t="s">
        <v>25</v>
      </c>
    </row>
    <row r="16" spans="2:21" ht="14.25" customHeight="1">
      <c r="B16" s="61">
        <v>1</v>
      </c>
      <c r="C16" s="62">
        <v>2</v>
      </c>
      <c r="D16" s="62">
        <v>7</v>
      </c>
      <c r="E16" s="62">
        <v>8</v>
      </c>
      <c r="F16" s="62">
        <v>2</v>
      </c>
      <c r="G16" s="62">
        <v>2</v>
      </c>
      <c r="H16" s="62">
        <v>7</v>
      </c>
      <c r="I16" s="62">
        <v>12</v>
      </c>
      <c r="J16" s="62">
        <v>8</v>
      </c>
      <c r="K16" s="62">
        <v>7</v>
      </c>
      <c r="L16" s="62">
        <v>5</v>
      </c>
      <c r="M16" s="62">
        <v>2</v>
      </c>
      <c r="N16" s="63">
        <v>15</v>
      </c>
      <c r="O16" s="75">
        <f aca="true" t="shared" si="0" ref="O16:O21">SUM(C16:N16)</f>
        <v>77</v>
      </c>
      <c r="Q16" s="36" t="str">
        <f>IF(R16&gt;0,"1")</f>
        <v>1</v>
      </c>
      <c r="R16" s="47" t="str">
        <f>IF(ISNA(HLOOKUP(1,C14:N27,2,FALSE)),"",HLOOKUP(1,C14:N16,2,FALSE))</f>
        <v>LUIGI FRASSANITO</v>
      </c>
      <c r="S16" s="48"/>
      <c r="T16" s="49"/>
      <c r="U16" s="84" t="str">
        <f>IF(C14=1,C23,IF(D14=1,D23,IF(E14=1,E23,IF(F14=1,F23,IF(G14=1,G23,IF(H14=1,H23,IF(I14=1,I23,IF(J14=1,J23,))))))))&amp;IF(K14=1,K23,IF(L14=1,L23,IF(M14=1,M23,IF(N14=1,N23,""))))</f>
        <v>446</v>
      </c>
    </row>
    <row r="17" spans="2:21" ht="14.25" customHeight="1">
      <c r="B17" s="64">
        <v>2</v>
      </c>
      <c r="C17" s="65">
        <v>2</v>
      </c>
      <c r="D17" s="65">
        <v>2</v>
      </c>
      <c r="E17" s="65">
        <v>24</v>
      </c>
      <c r="F17" s="65">
        <v>2</v>
      </c>
      <c r="G17" s="65">
        <v>1</v>
      </c>
      <c r="H17" s="65">
        <v>4</v>
      </c>
      <c r="I17" s="65">
        <v>5</v>
      </c>
      <c r="J17" s="65">
        <v>16</v>
      </c>
      <c r="K17" s="65">
        <v>10</v>
      </c>
      <c r="L17" s="65">
        <v>1</v>
      </c>
      <c r="M17" s="65">
        <v>4</v>
      </c>
      <c r="N17" s="66">
        <v>6</v>
      </c>
      <c r="O17" s="76">
        <f t="shared" si="0"/>
        <v>77</v>
      </c>
      <c r="Q17" s="37" t="str">
        <f>IF(R17&gt;0,"2")</f>
        <v>2</v>
      </c>
      <c r="R17" s="50" t="str">
        <f>IF(ISNA(HLOOKUP(2,C14:N16,2,FALSE)),"",HLOOKUP(2,C14:N16,2,FALSE))</f>
        <v>BETARICE PICCINNO</v>
      </c>
      <c r="S17" s="51"/>
      <c r="T17" s="52"/>
      <c r="U17" s="85" t="str">
        <f>IF(C14=2,C23,IF(D14=2,D23,IF(E14=2,E23,IF(F14=2,F23,IF(G14=2,G23,IF(H14=2,H23,IF(I14=2,I23,IF(J14=2,J23,))))))))&amp;IF(K14=2,K23,IF(L14=2,L23,IF(M14=2,M23,IF(N14=2,N23,""))))</f>
        <v>432</v>
      </c>
    </row>
    <row r="18" spans="2:21" ht="14.25" customHeight="1">
      <c r="B18" s="64">
        <v>3</v>
      </c>
      <c r="C18" s="65">
        <v>9</v>
      </c>
      <c r="D18" s="65">
        <v>3</v>
      </c>
      <c r="E18" s="65">
        <v>12</v>
      </c>
      <c r="F18" s="65">
        <v>3</v>
      </c>
      <c r="G18" s="65">
        <v>0</v>
      </c>
      <c r="H18" s="65">
        <v>6</v>
      </c>
      <c r="I18" s="65">
        <v>5</v>
      </c>
      <c r="J18" s="65">
        <v>12</v>
      </c>
      <c r="K18" s="65">
        <v>1</v>
      </c>
      <c r="L18" s="65">
        <v>0</v>
      </c>
      <c r="M18" s="65">
        <v>5</v>
      </c>
      <c r="N18" s="66">
        <v>2</v>
      </c>
      <c r="O18" s="76">
        <f t="shared" si="0"/>
        <v>58</v>
      </c>
      <c r="Q18" s="37" t="str">
        <f>IF(R18&gt;0,"3")</f>
        <v>3</v>
      </c>
      <c r="R18" s="50" t="str">
        <f>IF(ISNA(HLOOKUP(3,C14:N16,2,FALSE)),"",HLOOKUP(3,C14:N16,2,FALSE))</f>
        <v>MARIA RITA VERDUCCI</v>
      </c>
      <c r="S18" s="51"/>
      <c r="T18" s="52"/>
      <c r="U18" s="86" t="str">
        <f>IF(C14=3,C23,IF(D14=3,D23,IF(E14=3,E23,IF(F14=3,F23,IF(G14=3,G23,IF(H14=3,H23,IF(I14=3,I23,IF(J14=3,J23,))))))))&amp;IF(K14=3,K23,IF(L14=3,L23,IF(M14=3,M23,IF(N14=3,N23,""))))</f>
        <v>403</v>
      </c>
    </row>
    <row r="19" spans="2:21" ht="14.25" customHeight="1">
      <c r="B19" s="64">
        <v>4</v>
      </c>
      <c r="C19" s="65">
        <v>0</v>
      </c>
      <c r="D19" s="65">
        <v>6</v>
      </c>
      <c r="E19" s="65">
        <v>17</v>
      </c>
      <c r="F19" s="65">
        <v>1</v>
      </c>
      <c r="G19" s="65">
        <v>0</v>
      </c>
      <c r="H19" s="65">
        <v>7</v>
      </c>
      <c r="I19" s="65">
        <v>5</v>
      </c>
      <c r="J19" s="65">
        <v>11</v>
      </c>
      <c r="K19" s="65">
        <v>2</v>
      </c>
      <c r="L19" s="65">
        <v>1</v>
      </c>
      <c r="M19" s="65">
        <v>4</v>
      </c>
      <c r="N19" s="66">
        <v>7</v>
      </c>
      <c r="O19" s="76">
        <f t="shared" si="0"/>
        <v>61</v>
      </c>
      <c r="Q19" s="37" t="str">
        <f>IF(R19&gt;0,"4")</f>
        <v>4</v>
      </c>
      <c r="R19" s="50" t="str">
        <f>IF(ISNA(HLOOKUP(4,C14:N16,2,FALSE)),"",HLOOKUP(4,C14:N16,2,FALSE))</f>
        <v>MARIO MELE</v>
      </c>
      <c r="S19" s="51"/>
      <c r="T19" s="52"/>
      <c r="U19" s="86" t="str">
        <f>IF(C14=4,C23,IF(D14=4,D23,IF(E14=4,E23,IF(F14=4,F23,IF(G14=4,G23,IF(H14=4,H23,IF(I14=4,I23,IF(J14=4,J23,))))))))&amp;IF(K14=4,K23,IF(L14=4,L23,IF(M14=4,M23,IF(N14=4,N23,""))))</f>
        <v>402</v>
      </c>
    </row>
    <row r="20" spans="2:21" ht="14.25" customHeight="1">
      <c r="B20" s="64">
        <v>5</v>
      </c>
      <c r="C20" s="65">
        <v>0</v>
      </c>
      <c r="D20" s="65">
        <v>3</v>
      </c>
      <c r="E20" s="65">
        <v>14</v>
      </c>
      <c r="F20" s="65">
        <v>5</v>
      </c>
      <c r="G20" s="65">
        <v>2</v>
      </c>
      <c r="H20" s="65">
        <v>4</v>
      </c>
      <c r="I20" s="65">
        <v>5</v>
      </c>
      <c r="J20" s="65">
        <v>10</v>
      </c>
      <c r="K20" s="65">
        <v>1</v>
      </c>
      <c r="L20" s="65">
        <v>1</v>
      </c>
      <c r="M20" s="65">
        <v>2</v>
      </c>
      <c r="N20" s="66">
        <v>5</v>
      </c>
      <c r="O20" s="76">
        <f t="shared" si="0"/>
        <v>52</v>
      </c>
      <c r="Q20" s="37" t="str">
        <f>IF(R20&gt;0,"5")</f>
        <v>5</v>
      </c>
      <c r="R20" s="50" t="str">
        <f>IF(ISNA(HLOOKUP(5,C14:N16,2,FALSE)),"",HLOOKUP(5,C14:N16,2,FALSE))</f>
        <v>GIUSEPPE MANGIA</v>
      </c>
      <c r="S20" s="51"/>
      <c r="T20" s="52"/>
      <c r="U20" s="86" t="str">
        <f>IF(C14=5,C23,IF(D14=5,D23,IF(E14=5,E23,IF(F14=5,F23,IF(G14=5,G23,IF(H14=5,H23,IF(I14=5,I23,IF(J14=5,J23,))))))))&amp;IF(K14=5,K23,IF(L14=5,L23,IF(M14=5,M23,IF(N14=5,N23,""))))</f>
        <v>399</v>
      </c>
    </row>
    <row r="21" spans="2:21" ht="14.25" customHeight="1">
      <c r="B21" s="67">
        <v>6</v>
      </c>
      <c r="C21" s="68">
        <v>3</v>
      </c>
      <c r="D21" s="68">
        <v>3</v>
      </c>
      <c r="E21" s="68">
        <v>9</v>
      </c>
      <c r="F21" s="68">
        <v>3</v>
      </c>
      <c r="G21" s="68">
        <v>1</v>
      </c>
      <c r="H21" s="68">
        <v>9</v>
      </c>
      <c r="I21" s="68">
        <v>8</v>
      </c>
      <c r="J21" s="68">
        <v>13</v>
      </c>
      <c r="K21" s="68">
        <v>1</v>
      </c>
      <c r="L21" s="68">
        <v>2</v>
      </c>
      <c r="M21" s="68">
        <v>3</v>
      </c>
      <c r="N21" s="69">
        <v>6</v>
      </c>
      <c r="O21" s="77">
        <f t="shared" si="0"/>
        <v>61</v>
      </c>
      <c r="Q21" s="37" t="str">
        <f>IF(R21&gt;0,"6")</f>
        <v>6</v>
      </c>
      <c r="R21" s="50" t="str">
        <f>IF(ISNA(HLOOKUP(6,C14:N16,2,FALSE)),"",HLOOKUP(6,C14:N16,2,FALSE))</f>
        <v>EMANUELA CATALDO</v>
      </c>
      <c r="S21" s="51"/>
      <c r="T21" s="52"/>
      <c r="U21" s="86" t="str">
        <f>IF(C14=6,C23,IF(D14=6,D23,IF(E14=6,E23,IF(F14=6,F23,IF(G14=6,G23,IF(H14=6,H23,IF(I14=6,I23,IF(J14=6,J23,))))))))&amp;IF(K14=6,K23,IF(L14=6,L23,IF(M14=6,M23,IF(N14=6,N23,""))))</f>
        <v>386</v>
      </c>
    </row>
    <row r="22" spans="2:21" ht="14.25" customHeight="1">
      <c r="B22" s="70" t="s">
        <v>1</v>
      </c>
      <c r="C22" s="114">
        <f aca="true" t="shared" si="1" ref="C22:O22">SUM(C16:C21)</f>
        <v>16</v>
      </c>
      <c r="D22" s="114">
        <f t="shared" si="1"/>
        <v>24</v>
      </c>
      <c r="E22" s="114">
        <f t="shared" si="1"/>
        <v>84</v>
      </c>
      <c r="F22" s="114">
        <f t="shared" si="1"/>
        <v>16</v>
      </c>
      <c r="G22" s="114">
        <f t="shared" si="1"/>
        <v>6</v>
      </c>
      <c r="H22" s="114">
        <f t="shared" si="1"/>
        <v>37</v>
      </c>
      <c r="I22" s="114">
        <f t="shared" si="1"/>
        <v>40</v>
      </c>
      <c r="J22" s="114">
        <f t="shared" si="1"/>
        <v>70</v>
      </c>
      <c r="K22" s="114">
        <f t="shared" si="1"/>
        <v>22</v>
      </c>
      <c r="L22" s="114">
        <f t="shared" si="1"/>
        <v>10</v>
      </c>
      <c r="M22" s="114">
        <f t="shared" si="1"/>
        <v>20</v>
      </c>
      <c r="N22" s="115">
        <f t="shared" si="1"/>
        <v>41</v>
      </c>
      <c r="O22" s="78">
        <f t="shared" si="1"/>
        <v>386</v>
      </c>
      <c r="Q22" s="37" t="str">
        <f>IF(R22&gt;0,"7")</f>
        <v>7</v>
      </c>
      <c r="R22" s="50" t="str">
        <f>IF(ISNA(HLOOKUP(7,C14:N16,2,FALSE)),"",HLOOKUP(7,C14:N16,2,FALSE))</f>
        <v>LUCA RISI</v>
      </c>
      <c r="S22" s="51"/>
      <c r="T22" s="52"/>
      <c r="U22" s="86" t="str">
        <f>IF(C14=7,C23,IF(D14=7,D23,IF(E14=7,E23,IF(F14=7,F23,IF(G14=7,G23,IF(H14=7,H23,IF(I14=7,I23,IF(J14=7,J23,))))))))&amp;IF(K14=7,K23,IF(L14=7,L23,IF(M14=7,M23,IF(N14=7,N23,""))))</f>
        <v>384</v>
      </c>
    </row>
    <row r="23" spans="2:21" ht="14.25" customHeight="1">
      <c r="B23" s="71" t="s">
        <v>24</v>
      </c>
      <c r="C23" s="116">
        <f>U11+C22</f>
        <v>378</v>
      </c>
      <c r="D23" s="116">
        <f>U11+D22</f>
        <v>386</v>
      </c>
      <c r="E23" s="116">
        <f>U11+E22</f>
        <v>446</v>
      </c>
      <c r="F23" s="116">
        <f>U11+F22</f>
        <v>378</v>
      </c>
      <c r="G23" s="116">
        <f>U11+G22</f>
        <v>368</v>
      </c>
      <c r="H23" s="116">
        <f>U11+H22</f>
        <v>399</v>
      </c>
      <c r="I23" s="116">
        <f>U11+I22</f>
        <v>402</v>
      </c>
      <c r="J23" s="116">
        <f>U11+J22</f>
        <v>432</v>
      </c>
      <c r="K23" s="116">
        <f>U11+K22</f>
        <v>384</v>
      </c>
      <c r="L23" s="116">
        <f>U11+L22</f>
        <v>372</v>
      </c>
      <c r="M23" s="116">
        <f>U11+M22</f>
        <v>382</v>
      </c>
      <c r="N23" s="116">
        <f>U11+N22</f>
        <v>403</v>
      </c>
      <c r="O23" s="117">
        <f>O22+U11</f>
        <v>748</v>
      </c>
      <c r="Q23" s="37" t="str">
        <f>IF(R23&gt;0,"8")</f>
        <v>8</v>
      </c>
      <c r="R23" s="50" t="str">
        <f>IF(ISNA(HLOOKUP(8,C14:N16,2,FALSE)),"",HLOOKUP(8,C14:N16,2,FALSE))</f>
        <v>LETIZIA SICURO</v>
      </c>
      <c r="S23" s="51"/>
      <c r="T23" s="52"/>
      <c r="U23" s="86" t="str">
        <f>IF(C14=8,C23,IF(D14=8,D23,IF(E14=8,E23,IF(F14=8,F23,IF(G14=8,G23,IF(H14=8,H23,IF(I14=8,I23,IF(J14=8,J23,))))))))&amp;IF(K14=8,K23,IF(L14=8,L23,IF(M14=8,M23,IF(N14=8,N23,""))))</f>
        <v>382</v>
      </c>
    </row>
    <row r="24" spans="2:21" ht="14.25" customHeight="1">
      <c r="B24" s="72"/>
      <c r="C24" s="94">
        <f>IF(C23&gt;U11*2,"ERRORE","")</f>
      </c>
      <c r="D24" s="94">
        <f>IF(D23&gt;U11*2,"ERRORE","")</f>
      </c>
      <c r="E24" s="94">
        <f>IF(E23&gt;U11*2,"ERRORE","")</f>
      </c>
      <c r="F24" s="94">
        <f>IF(F23&gt;U11*2,"ERRORE","")</f>
      </c>
      <c r="G24" s="94">
        <f>IF(G23&gt;U11*2,"ERRORE","")</f>
      </c>
      <c r="H24" s="94">
        <f>IF(H23&gt;U11*2,"ERRORE","")</f>
      </c>
      <c r="I24" s="94">
        <f>IF(I23&gt;U11*2,"ERRORE","")</f>
      </c>
      <c r="J24" s="94">
        <f>IF(J23&gt;U11*2,"ERRORE","")</f>
      </c>
      <c r="K24" s="94">
        <f>IF(K23&gt;U11*2,"ERRORE","")</f>
      </c>
      <c r="L24" s="94">
        <f>IF(L23&gt;U11*2,"ERRORE","")</f>
      </c>
      <c r="M24" s="94">
        <f>IF(M23&gt;U11*2,"ERRORE","")</f>
      </c>
      <c r="N24" s="94">
        <f>IF(N23&gt;U11*2,"ERRORE","")</f>
      </c>
      <c r="O24" s="94"/>
      <c r="Q24" s="38" t="str">
        <f>IF(R24&gt;0,"9")</f>
        <v>9</v>
      </c>
      <c r="R24" s="98" t="s">
        <v>108</v>
      </c>
      <c r="S24" s="53"/>
      <c r="T24" s="54"/>
      <c r="U24" s="86">
        <v>378</v>
      </c>
    </row>
    <row r="25" spans="2:21" ht="14.25" customHeight="1">
      <c r="B25" s="95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Q25" s="38" t="str">
        <f>IF(R25&gt;0,"10")</f>
        <v>10</v>
      </c>
      <c r="R25" s="98" t="str">
        <f>IF(ISNA(HLOOKUP(10,C14:N16,2,FALSE)),"",HLOOKUP(10,C14:N16,2,FALSE))</f>
        <v>MATTIA BUONO</v>
      </c>
      <c r="S25" s="53"/>
      <c r="T25" s="54"/>
      <c r="U25" s="86" t="str">
        <f>IF(C14=10,C23,IF(D14=10,D23,IF(E14=10,E23,IF(F14=10,F23,IF(G14=10,G23,IF(H14=10,H23,IF(I14=10,I23,IF(J14=10,J23,))))))))&amp;IF(K14=10,K23,IF(L14=10,L23,IF(M14=10,M23,IF(N14=10,N23,""))))</f>
        <v>378</v>
      </c>
    </row>
    <row r="26" spans="2:21" ht="12.75">
      <c r="B26" s="243" t="s">
        <v>64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Q26" s="38" t="str">
        <f>IF(R26&gt;0,"11")</f>
        <v>11</v>
      </c>
      <c r="R26" s="98" t="str">
        <f>IF(ISNA(HLOOKUP(11,C14:N16,2,FALSE)),"",HLOOKUP(11,C14:N16,2,FALSE))</f>
        <v>SALVATORE LUIGI ROMANO</v>
      </c>
      <c r="S26" s="53"/>
      <c r="T26" s="54"/>
      <c r="U26" s="86" t="str">
        <f>IF(C14=11,C23,IF(D14=11,D23,IF(E14=11,E23,IF(F14=11,F23,IF(G14=11,G23,IF(H14=11,H23,IF(I14=11,I23,IF(J14=11,J23,))))))))&amp;IF(K14=11,K23,IF(L14=11,L23,IF(M14=11,M23,IF(N14=11,N23,""))))</f>
        <v>372</v>
      </c>
    </row>
    <row r="27" spans="2:21" ht="12.75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  <c r="Q27" s="39" t="str">
        <f>IF(R27&gt;0,"12")</f>
        <v>12</v>
      </c>
      <c r="R27" s="99" t="str">
        <f>IF(ISNA(HLOOKUP(12,C14:N16,2,FALSE)),"",HLOOKUP(12,C14:N16,2,FALSE))</f>
        <v>CLAUDIO MALERBA</v>
      </c>
      <c r="S27" s="55"/>
      <c r="T27" s="56"/>
      <c r="U27" s="87" t="str">
        <f>IF(C14=12,C23,IF(D14=12,D23,IF(E14=12,E23,IF(F14=12,F23,IF(G14=12,G23,IF(H14=12,H23,IF(I14=12,I23,IF(J14=12,J23,))))))))&amp;IF(K14=12,K23,IF(L14=12,L23,IF(M14=12,M23,IF(N14=12,N23,""))))</f>
        <v>368</v>
      </c>
    </row>
  </sheetData>
  <sheetProtection/>
  <mergeCells count="23">
    <mergeCell ref="C25:O25"/>
    <mergeCell ref="F12:F13"/>
    <mergeCell ref="G12:G13"/>
    <mergeCell ref="I12:I13"/>
    <mergeCell ref="J12:J13"/>
    <mergeCell ref="K12:K13"/>
    <mergeCell ref="Q11:T13"/>
    <mergeCell ref="U11:U13"/>
    <mergeCell ref="J2:O2"/>
    <mergeCell ref="H12:H13"/>
    <mergeCell ref="M12:M13"/>
    <mergeCell ref="D12:D13"/>
    <mergeCell ref="N12:N13"/>
    <mergeCell ref="J1:O1"/>
    <mergeCell ref="J4:O4"/>
    <mergeCell ref="B26:O27"/>
    <mergeCell ref="Q15:T15"/>
    <mergeCell ref="B6:T7"/>
    <mergeCell ref="B9:T9"/>
    <mergeCell ref="C11:N11"/>
    <mergeCell ref="L12:L13"/>
    <mergeCell ref="E12:E13"/>
    <mergeCell ref="C12:C13"/>
  </mergeCells>
  <conditionalFormatting sqref="R16:R23 R10">
    <cfRule type="cellIs" priority="2" dxfId="2" operator="notEqual" stopIfTrue="1">
      <formula>0</formula>
    </cfRule>
  </conditionalFormatting>
  <conditionalFormatting sqref="R24:R26">
    <cfRule type="cellIs" priority="3" dxfId="1" operator="greaterThan" stopIfTrue="1">
      <formula>8</formula>
    </cfRule>
  </conditionalFormatting>
  <conditionalFormatting sqref="C24:O24">
    <cfRule type="cellIs" priority="1" dxfId="0" operator="equal" stopIfTrue="1">
      <formula>"ERRORE"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U27"/>
  <sheetViews>
    <sheetView zoomScale="120" zoomScaleNormal="120" zoomScalePageLayoutView="0" workbookViewId="0" topLeftCell="A1">
      <selection activeCell="S26" sqref="S26"/>
    </sheetView>
  </sheetViews>
  <sheetFormatPr defaultColWidth="9.140625" defaultRowHeight="12.75"/>
  <cols>
    <col min="1" max="1" width="5.421875" style="0" customWidth="1"/>
    <col min="2" max="2" width="7.28125" style="0" customWidth="1"/>
    <col min="3" max="14" width="4.7109375" style="0" customWidth="1"/>
    <col min="15" max="15" width="6.57421875" style="0" customWidth="1"/>
    <col min="16" max="16" width="7.7109375" style="0" customWidth="1"/>
    <col min="17" max="17" width="3.8515625" style="0" customWidth="1"/>
    <col min="18" max="19" width="7.28125" style="0" customWidth="1"/>
    <col min="20" max="20" width="11.57421875" style="0" customWidth="1"/>
    <col min="21" max="21" width="10.00390625" style="0" bestFit="1" customWidth="1"/>
  </cols>
  <sheetData>
    <row r="1" spans="10:15" ht="12.75">
      <c r="J1" s="258" t="s">
        <v>0</v>
      </c>
      <c r="K1" s="273"/>
      <c r="L1" s="273"/>
      <c r="M1" s="273"/>
      <c r="N1" s="273"/>
      <c r="O1" s="273"/>
    </row>
    <row r="2" spans="10:15" ht="12.75">
      <c r="J2" s="277" t="s">
        <v>22</v>
      </c>
      <c r="K2" s="273"/>
      <c r="L2" s="273"/>
      <c r="M2" s="273"/>
      <c r="N2" s="273"/>
      <c r="O2" s="273"/>
    </row>
    <row r="4" spans="10:15" ht="12.75" customHeight="1">
      <c r="J4" s="274" t="s">
        <v>23</v>
      </c>
      <c r="K4" s="273"/>
      <c r="L4" s="273"/>
      <c r="M4" s="273"/>
      <c r="N4" s="273"/>
      <c r="O4" s="273"/>
    </row>
    <row r="5" spans="2:18" ht="12.75" customHeight="1">
      <c r="B5" s="1"/>
      <c r="C5" s="1"/>
      <c r="R5" s="5"/>
    </row>
    <row r="6" spans="2:20" ht="12.75">
      <c r="B6" s="249" t="s">
        <v>31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2:20" ht="12.75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2:20" ht="12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2:20" ht="14.25" customHeight="1">
      <c r="B9" s="255" t="s">
        <v>29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</row>
    <row r="10" ht="13.5" customHeight="1" thickBot="1">
      <c r="R10" s="5"/>
    </row>
    <row r="11" spans="2:21" ht="13.5" customHeight="1" thickTop="1">
      <c r="B11" s="44"/>
      <c r="C11" s="270" t="s">
        <v>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  <c r="O11" s="44"/>
      <c r="Q11" s="259" t="s">
        <v>26</v>
      </c>
      <c r="R11" s="260"/>
      <c r="S11" s="260"/>
      <c r="T11" s="260"/>
      <c r="U11" s="267">
        <f>spoglio!O20</f>
        <v>37</v>
      </c>
    </row>
    <row r="12" spans="2:21" ht="13.5" customHeight="1">
      <c r="B12" s="45"/>
      <c r="C12" s="250">
        <v>1</v>
      </c>
      <c r="D12" s="250">
        <v>2</v>
      </c>
      <c r="E12" s="250">
        <v>3</v>
      </c>
      <c r="F12" s="250">
        <v>4</v>
      </c>
      <c r="G12" s="250">
        <v>5</v>
      </c>
      <c r="H12" s="250">
        <v>6</v>
      </c>
      <c r="I12" s="250">
        <v>7</v>
      </c>
      <c r="J12" s="250">
        <v>8</v>
      </c>
      <c r="K12" s="250">
        <v>9</v>
      </c>
      <c r="L12" s="250">
        <v>10</v>
      </c>
      <c r="M12" s="250">
        <v>11</v>
      </c>
      <c r="N12" s="250">
        <v>12</v>
      </c>
      <c r="O12" s="45"/>
      <c r="Q12" s="261"/>
      <c r="R12" s="262"/>
      <c r="S12" s="262"/>
      <c r="T12" s="262"/>
      <c r="U12" s="268"/>
    </row>
    <row r="13" spans="2:21" ht="14.25" customHeight="1" thickBot="1">
      <c r="B13" s="45"/>
      <c r="C13" s="251"/>
      <c r="D13" s="251"/>
      <c r="E13" s="251"/>
      <c r="F13" s="251"/>
      <c r="G13" s="251"/>
      <c r="H13" s="251"/>
      <c r="I13" s="251"/>
      <c r="J13" s="251"/>
      <c r="K13" s="251"/>
      <c r="L13" s="280"/>
      <c r="M13" s="251"/>
      <c r="N13" s="251"/>
      <c r="O13" s="45"/>
      <c r="Q13" s="263"/>
      <c r="R13" s="264"/>
      <c r="S13" s="264"/>
      <c r="T13" s="264"/>
      <c r="U13" s="269"/>
    </row>
    <row r="14" spans="2:15" ht="14.25" customHeight="1" thickTop="1">
      <c r="B14" s="46"/>
      <c r="C14" s="42">
        <f>12-((C22&gt;D22)+(C22&gt;E22)+(C22&gt;F22)+(C22&gt;G22)+(C22&gt;H22)+(C22&gt;I22)+(C22&gt;J22)+(C22&gt;K22)+(C22&gt;L22)+(C22&gt;M22)+(C22&gt;N22))</f>
        <v>3</v>
      </c>
      <c r="D14" s="41">
        <f>12-((D22&gt;C22)+(D22&gt;E22)+(D22&gt;F22)+(D22&gt;G22)+(D22&gt;H22)+(D22&gt;I22)+(D22&gt;J22)+(D22&gt;K22)+(D22&gt;L22)+(D22&gt;M22)+(D22&gt;N22))</f>
        <v>5</v>
      </c>
      <c r="E14" s="42">
        <f>12-((E22&gt;C22)+(E22&gt;D22)+(E22&gt;F22)+(E22&gt;G22)+(E22&gt;H22)+(E22&gt;I22)+(E22&gt;J22)+(E22&gt;K22)+(E22&gt;L22)+(E22&gt;M22)+(E22&gt;N22))</f>
        <v>5</v>
      </c>
      <c r="F14" s="41">
        <f>12-((F22&gt;C22)+(F22&gt;D22)+(F22&gt;E22)+(F22&gt;G22)+(F22&gt;H22)+(F22&gt;I22)+(F22&gt;J22)+(F22&gt;K22)+(F22&gt;L22)+(F22&gt;M22)+(F22&gt;N22))</f>
        <v>1</v>
      </c>
      <c r="G14" s="42">
        <f>12-((G22&gt;C22)+(G22&gt;D22)+(G22&gt;E22)+(G22&gt;F22)+(G22&gt;H22)+(G22&gt;I22)+(G22&gt;J22)+(G22&gt;K22)+(G22&gt;L22)+(G22&gt;M22)+(G22&gt;N22))</f>
        <v>12</v>
      </c>
      <c r="H14" s="42">
        <f>12-((H22&gt;C22)+(H22&gt;D22)+(H22&gt;E22)+(H22&gt;F22)+(H22&gt;G22)+(H22&gt;I22)+(H22&gt;J22)+(H22&gt;K22)+(H22&gt;L22)+(H22&gt;M22)+(H22&gt;N22))</f>
        <v>3</v>
      </c>
      <c r="I14" s="42">
        <f>12-((I22&gt;C22)+(I22&gt;D22)+(I22&gt;E22)+(I22&gt;F22)+(I22&gt;G22)+(I22&gt;H22)+(I22&gt;J22)+(I22&gt;K22)+(I22&gt;L22)+(I22&gt;M22)+(I22&gt;N22))</f>
        <v>12</v>
      </c>
      <c r="J14" s="42">
        <f>12-((J22&gt;C22)+(J22&gt;D22)+(J22&gt;E22)+(J22&gt;F22)+(J22&gt;G22)+(J22&gt;H22)+(J22&gt;I22)+(J22&gt;K22)+(J22&gt;L22)+(J22&gt;M22)+(J22&gt;N22))</f>
        <v>12</v>
      </c>
      <c r="K14" s="42">
        <f>12-((K22&gt;C22)+(K22&gt;D22)+(K22&gt;E22)+(K22&gt;F22)+(K22&gt;G22)+(K22&gt;H22)+(K22&gt;I22)+(K22&gt;J22)+(K22&gt;L22)+(K22&gt;M22)+(K22&gt;N22))</f>
        <v>12</v>
      </c>
      <c r="L14" s="42">
        <f>12-((L22&gt;C22)+(L22&gt;D22)+(L22&gt;E22)+(L22&gt;F22)+(L22&gt;G22)+(L22&gt;H22)+(L22&gt;I22)+(L22&gt;J22)+(L22&gt;K22)+(L22&gt;M22)+(L22&gt;N22))</f>
        <v>12</v>
      </c>
      <c r="M14" s="42">
        <f>12-((M22&gt;C22)+(M22&gt;D22)+(M22&gt;E22)+(M22&gt;F22)+(M22&gt;G22)+(M22&gt;H22)+(M22&gt;I22)+(M22&gt;J22)+(M22&gt;K22)+(M22&gt;L22)+(M22&gt;N22))</f>
        <v>12</v>
      </c>
      <c r="N14" s="42">
        <f>12-((N22&gt;C22)+(N22&gt;D22)+(N22&gt;E22)+(N22&gt;F22)+(N22&gt;G22)+(N22&gt;H22)+(N22&gt;I22)+(N22&gt;J22)+(N22&gt;K22)+(N22&gt;L22)+(N22&gt;M22))</f>
        <v>12</v>
      </c>
      <c r="O14" s="46"/>
    </row>
    <row r="15" spans="2:21" ht="110.25" customHeight="1">
      <c r="B15" s="33" t="s">
        <v>2</v>
      </c>
      <c r="C15" s="6" t="s">
        <v>106</v>
      </c>
      <c r="D15" s="6" t="s">
        <v>66</v>
      </c>
      <c r="E15" s="6" t="s">
        <v>67</v>
      </c>
      <c r="F15" s="6" t="s">
        <v>68</v>
      </c>
      <c r="G15" s="6" t="s">
        <v>69</v>
      </c>
      <c r="H15" s="6" t="s">
        <v>70</v>
      </c>
      <c r="I15" s="6" t="s">
        <v>71</v>
      </c>
      <c r="J15" s="6" t="s">
        <v>72</v>
      </c>
      <c r="K15" s="6" t="s">
        <v>73</v>
      </c>
      <c r="L15" s="6"/>
      <c r="M15" s="6"/>
      <c r="N15" s="3"/>
      <c r="O15" s="73" t="s">
        <v>1</v>
      </c>
      <c r="Q15" s="252" t="s">
        <v>21</v>
      </c>
      <c r="R15" s="275"/>
      <c r="S15" s="275"/>
      <c r="T15" s="276"/>
      <c r="U15" s="59" t="s">
        <v>25</v>
      </c>
    </row>
    <row r="16" spans="2:21" ht="14.25" customHeight="1">
      <c r="B16" s="61">
        <v>1</v>
      </c>
      <c r="C16" s="62">
        <v>1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/>
      <c r="M16" s="62"/>
      <c r="N16" s="63"/>
      <c r="O16" s="75">
        <f aca="true" t="shared" si="0" ref="O16:O21">SUM(C16:N16)</f>
        <v>1</v>
      </c>
      <c r="Q16" s="36" t="str">
        <f>IF(R16&gt;0,"1")</f>
        <v>1</v>
      </c>
      <c r="R16" s="47" t="str">
        <f>IF(ISNA(HLOOKUP(1,C14:N27,2,FALSE)),"",HLOOKUP(1,C14:N16,2,FALSE))</f>
        <v>SIMONE TUNDO</v>
      </c>
      <c r="S16" s="48"/>
      <c r="T16" s="49"/>
      <c r="U16" s="171" t="str">
        <f>IF(C14=1,C23,IF(D14=1,D23,IF(E14=1,E23,IF(F14=1,F23,IF(G14=1,G23,IF(H14=1,H23,IF(I14=1,I23,IF(J14=1,J23,))))))))&amp;IF(K14=1,K23,IF(L14=1,L23,IF(M14=1,M23,IF(N14=1,N23,""))))</f>
        <v>45</v>
      </c>
    </row>
    <row r="17" spans="2:21" ht="14.25" customHeight="1">
      <c r="B17" s="64">
        <v>2</v>
      </c>
      <c r="C17" s="65">
        <v>1</v>
      </c>
      <c r="D17" s="65">
        <v>1</v>
      </c>
      <c r="E17" s="65">
        <v>0</v>
      </c>
      <c r="F17" s="65">
        <v>1</v>
      </c>
      <c r="G17" s="65">
        <v>0</v>
      </c>
      <c r="H17" s="65">
        <v>2</v>
      </c>
      <c r="I17" s="65">
        <v>0</v>
      </c>
      <c r="J17" s="65">
        <v>0</v>
      </c>
      <c r="K17" s="65">
        <v>0</v>
      </c>
      <c r="L17" s="65"/>
      <c r="M17" s="65"/>
      <c r="N17" s="66"/>
      <c r="O17" s="76">
        <f t="shared" si="0"/>
        <v>5</v>
      </c>
      <c r="Q17" s="37" t="str">
        <f>IF(R17&gt;0,"2")</f>
        <v>2</v>
      </c>
      <c r="R17" s="50" t="s">
        <v>109</v>
      </c>
      <c r="S17" s="51"/>
      <c r="T17" s="52"/>
      <c r="U17" s="172">
        <v>40</v>
      </c>
    </row>
    <row r="18" spans="2:21" ht="14.25" customHeight="1">
      <c r="B18" s="64">
        <v>3</v>
      </c>
      <c r="C18" s="65">
        <v>0</v>
      </c>
      <c r="D18" s="65">
        <v>0</v>
      </c>
      <c r="E18" s="65">
        <v>1</v>
      </c>
      <c r="F18" s="65">
        <v>5</v>
      </c>
      <c r="G18" s="65">
        <v>0</v>
      </c>
      <c r="H18" s="65">
        <v>1</v>
      </c>
      <c r="I18" s="65">
        <v>0</v>
      </c>
      <c r="J18" s="65">
        <v>0</v>
      </c>
      <c r="K18" s="65">
        <v>0</v>
      </c>
      <c r="L18" s="65"/>
      <c r="M18" s="65"/>
      <c r="N18" s="66"/>
      <c r="O18" s="76">
        <f t="shared" si="0"/>
        <v>7</v>
      </c>
      <c r="Q18" s="37" t="str">
        <f>IF(R18&gt;0,"3")</f>
        <v>3</v>
      </c>
      <c r="R18" s="50" t="str">
        <f>IF(ISNA(HLOOKUP(3,C14:N16,2,FALSE)),"",HLOOKUP(3,C14:N16,2,FALSE))</f>
        <v>MAURO ANTONIO CHIRIZZI</v>
      </c>
      <c r="S18" s="51"/>
      <c r="T18" s="52"/>
      <c r="U18" s="172" t="str">
        <f>IF(C14=3,C23,IF(D14=3,D23,IF(E14=3,E23,IF(F14=3,F23,IF(G14=3,G23,IF(H14=3,H23,IF(I14=3,I23,IF(J14=3,J23,))))))))&amp;IF(K14=3,K23,IF(L14=3,L23,IF(M14=3,M23,IF(N14=3,N23,""))))</f>
        <v>40</v>
      </c>
    </row>
    <row r="19" spans="2:21" ht="14.25" customHeight="1">
      <c r="B19" s="64">
        <v>4</v>
      </c>
      <c r="C19" s="65">
        <v>0</v>
      </c>
      <c r="D19" s="65">
        <v>1</v>
      </c>
      <c r="E19" s="65">
        <v>0</v>
      </c>
      <c r="F19" s="65">
        <v>1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/>
      <c r="M19" s="65"/>
      <c r="N19" s="66"/>
      <c r="O19" s="76">
        <f t="shared" si="0"/>
        <v>2</v>
      </c>
      <c r="Q19" s="37" t="str">
        <f>IF(R19&gt;0,"4")</f>
        <v>4</v>
      </c>
      <c r="R19" s="50" t="s">
        <v>67</v>
      </c>
      <c r="S19" s="51"/>
      <c r="T19" s="52"/>
      <c r="U19" s="172">
        <v>39</v>
      </c>
    </row>
    <row r="20" spans="2:21" ht="14.25" customHeight="1">
      <c r="B20" s="64">
        <v>5</v>
      </c>
      <c r="C20" s="65">
        <v>1</v>
      </c>
      <c r="D20" s="65">
        <v>0</v>
      </c>
      <c r="E20" s="65">
        <v>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/>
      <c r="M20" s="65"/>
      <c r="N20" s="66"/>
      <c r="O20" s="76">
        <f t="shared" si="0"/>
        <v>2</v>
      </c>
      <c r="Q20" s="37" t="str">
        <f>IF(R20&gt;0,"5")</f>
        <v>5</v>
      </c>
      <c r="R20" s="50" t="str">
        <f>IF(ISNA(HLOOKUP(5,C14:N16,2,FALSE)),"",HLOOKUP(5,C14:N16,2,FALSE))</f>
        <v>LUIGI DE CARLO</v>
      </c>
      <c r="S20" s="51"/>
      <c r="T20" s="52"/>
      <c r="U20" s="172" t="str">
        <f>IF(C14=5,C23,IF(D14=5,D23,IF(E14=5,E23,IF(F14=5,F23,IF(G14=5,G23,IF(H14=5,H23,IF(I14=5,I23,IF(J14=5,J23,))))))))&amp;IF(K14=5,K23,IF(L14=5,L23,IF(M14=5,M23,IF(N14=5,N23,""))))</f>
        <v>39</v>
      </c>
    </row>
    <row r="21" spans="2:21" ht="14.25" customHeight="1">
      <c r="B21" s="67">
        <v>6</v>
      </c>
      <c r="C21" s="68">
        <v>0</v>
      </c>
      <c r="D21" s="68">
        <v>0</v>
      </c>
      <c r="E21" s="68">
        <v>0</v>
      </c>
      <c r="F21" s="68">
        <v>1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/>
      <c r="M21" s="68"/>
      <c r="N21" s="69"/>
      <c r="O21" s="77">
        <f t="shared" si="0"/>
        <v>1</v>
      </c>
      <c r="Q21" s="37" t="str">
        <f>IF(R21&gt;0,"6")</f>
        <v>6</v>
      </c>
      <c r="R21" s="50" t="s">
        <v>69</v>
      </c>
      <c r="S21" s="51"/>
      <c r="T21" s="52"/>
      <c r="U21" s="172">
        <v>37</v>
      </c>
    </row>
    <row r="22" spans="2:21" ht="14.25" customHeight="1">
      <c r="B22" s="2" t="s">
        <v>1</v>
      </c>
      <c r="C22" s="114">
        <f aca="true" t="shared" si="1" ref="C22:O22">SUM(C16:C21)</f>
        <v>3</v>
      </c>
      <c r="D22" s="114">
        <f t="shared" si="1"/>
        <v>2</v>
      </c>
      <c r="E22" s="114">
        <f t="shared" si="1"/>
        <v>2</v>
      </c>
      <c r="F22" s="114">
        <f t="shared" si="1"/>
        <v>8</v>
      </c>
      <c r="G22" s="114">
        <f t="shared" si="1"/>
        <v>0</v>
      </c>
      <c r="H22" s="114">
        <f t="shared" si="1"/>
        <v>3</v>
      </c>
      <c r="I22" s="114">
        <f t="shared" si="1"/>
        <v>0</v>
      </c>
      <c r="J22" s="114">
        <f t="shared" si="1"/>
        <v>0</v>
      </c>
      <c r="K22" s="114">
        <f t="shared" si="1"/>
        <v>0</v>
      </c>
      <c r="L22" s="114">
        <f t="shared" si="1"/>
        <v>0</v>
      </c>
      <c r="M22" s="114">
        <f t="shared" si="1"/>
        <v>0</v>
      </c>
      <c r="N22" s="115">
        <f t="shared" si="1"/>
        <v>0</v>
      </c>
      <c r="O22" s="78">
        <f t="shared" si="1"/>
        <v>18</v>
      </c>
      <c r="Q22" s="37" t="str">
        <f>IF(R22&gt;0,"7")</f>
        <v>7</v>
      </c>
      <c r="R22" s="50" t="s">
        <v>71</v>
      </c>
      <c r="S22" s="51"/>
      <c r="T22" s="52"/>
      <c r="U22" s="172">
        <v>37</v>
      </c>
    </row>
    <row r="23" spans="2:21" ht="14.25" customHeight="1">
      <c r="B23" s="71" t="s">
        <v>24</v>
      </c>
      <c r="C23" s="116">
        <f>U11+C22</f>
        <v>40</v>
      </c>
      <c r="D23" s="116">
        <f>U11+D22</f>
        <v>39</v>
      </c>
      <c r="E23" s="116">
        <f>U11+E22</f>
        <v>39</v>
      </c>
      <c r="F23" s="116">
        <f>U11+F22</f>
        <v>45</v>
      </c>
      <c r="G23" s="116">
        <f>U11+G22</f>
        <v>37</v>
      </c>
      <c r="H23" s="116">
        <f>U11+H22</f>
        <v>40</v>
      </c>
      <c r="I23" s="116">
        <f>U11+I22</f>
        <v>37</v>
      </c>
      <c r="J23" s="116">
        <f>U11+J22</f>
        <v>37</v>
      </c>
      <c r="K23" s="116">
        <f>U11+K22</f>
        <v>37</v>
      </c>
      <c r="L23" s="116">
        <f>U11+L22</f>
        <v>37</v>
      </c>
      <c r="M23" s="116">
        <f>U11+M22</f>
        <v>37</v>
      </c>
      <c r="N23" s="116">
        <f>U11+N22</f>
        <v>37</v>
      </c>
      <c r="O23" s="117">
        <f>O22+U11</f>
        <v>55</v>
      </c>
      <c r="Q23" s="37" t="str">
        <f>IF(R23&gt;0,"8")</f>
        <v>8</v>
      </c>
      <c r="R23" s="50" t="s">
        <v>73</v>
      </c>
      <c r="S23" s="51"/>
      <c r="T23" s="52"/>
      <c r="U23" s="172">
        <v>37</v>
      </c>
    </row>
    <row r="24" spans="2:21" ht="14.25" customHeight="1">
      <c r="B24" s="96"/>
      <c r="C24" s="97">
        <f>IF(C23&gt;U11*2,"ERRORE","")</f>
      </c>
      <c r="D24" s="97">
        <f>IF(D23&gt;U11*2,"ERRORE","")</f>
      </c>
      <c r="E24" s="97">
        <f>IF(E23&gt;U11*2,"ERRORE","")</f>
      </c>
      <c r="F24" s="97">
        <f>IF(F23&gt;U11*2,"ERRORE","")</f>
      </c>
      <c r="G24" s="97">
        <f>IF(G23&gt;U11*2,"ERRORE","")</f>
      </c>
      <c r="H24" s="97">
        <f>IF(H23&gt;U11*2,"ERRORE","")</f>
      </c>
      <c r="I24" s="97">
        <f>IF(I23&gt;U11*2,"ERRORE","")</f>
      </c>
      <c r="J24" s="97">
        <f>IF(J23&gt;U11*2,"ERRORE","")</f>
      </c>
      <c r="K24" s="97">
        <f>IF(K23&gt;U11*2,"ERRORE","")</f>
      </c>
      <c r="L24" s="97">
        <f>IF(L23&gt;U11*2,"ERRORE","")</f>
      </c>
      <c r="M24" s="97">
        <f>IF(M23&gt;U11*2,"ERRORE","")</f>
      </c>
      <c r="N24" s="97">
        <f>IF(N23&gt;U11*2,"ERRORE","")</f>
      </c>
      <c r="O24" s="97"/>
      <c r="Q24" s="38" t="str">
        <f>IF(R24&gt;0,"9")</f>
        <v>9</v>
      </c>
      <c r="R24" s="88">
        <f>IF(ISNA(HLOOKUP(9,C14:N16,2,FALSE)),"",HLOOKUP(9,C14:N16,2,FALSE))</f>
      </c>
      <c r="S24" s="53"/>
      <c r="T24" s="54"/>
      <c r="U24" s="92">
        <f>IF(C14=9,C23,IF(D14=9,D23,IF(E14=9,E23,IF(F14=9,F23,IF(G14=9,G23,IF(H14=9,H23,IF(I14=9,I23,IF(J14=9,J23,))))))))&amp;IF(K14=9,K23,IF(L14=9,L23,IF(M14=9,M23,IF(N14=9,N23,""))))</f>
      </c>
    </row>
    <row r="25" spans="2:21" ht="14.25" customHeight="1">
      <c r="B25" s="95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Q25" s="38" t="str">
        <f>IF(R25&gt;0,"10")</f>
        <v>10</v>
      </c>
      <c r="R25" s="88">
        <f>IF(ISNA(HLOOKUP(10,C14:N16,2,FALSE)),"",HLOOKUP(10,C14:N16,2,FALSE))</f>
      </c>
      <c r="S25" s="53"/>
      <c r="T25" s="54"/>
      <c r="U25" s="92">
        <f>IF(C14=10,C23,IF(D14=10,D23,IF(E14=10,E23,IF(F14=10,F23,IF(G14=10,G23,IF(H14=10,H23,IF(I14=10,I23,IF(J14=10,J23,))))))))&amp;IF(K14=10,K23,IF(L14=10,L23,IF(M14=10,M23,IF(N14=10,N23,""))))</f>
      </c>
    </row>
    <row r="26" spans="2:21" ht="12.75" customHeight="1">
      <c r="B26" s="243" t="s">
        <v>65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Q26" s="38" t="str">
        <f>IF(R26&gt;0,"11")</f>
        <v>11</v>
      </c>
      <c r="R26" s="88">
        <f>IF(ISNA(HLOOKUP(11,C14:N16,2,FALSE)),"",HLOOKUP(11,C14:N16,2,FALSE))</f>
      </c>
      <c r="S26" s="53"/>
      <c r="T26" s="54"/>
      <c r="U26" s="92">
        <f>IF(C14=11,C23,IF(D14=11,D23,IF(E14=11,E23,IF(F14=11,F23,IF(G14=11,G23,IF(H14=11,H23,IF(I14=11,I23,IF(J14=11,J23,))))))))&amp;IF(K14=11,K23,IF(L14=11,L23,IF(M14=11,M23,IF(N14=11,N23,""))))</f>
      </c>
    </row>
    <row r="27" spans="2:2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  <c r="Q27" s="39"/>
      <c r="R27" s="89"/>
      <c r="S27" s="55"/>
      <c r="T27" s="56"/>
      <c r="U27" s="93"/>
    </row>
  </sheetData>
  <sheetProtection/>
  <mergeCells count="24">
    <mergeCell ref="U11:U13"/>
    <mergeCell ref="J1:O1"/>
    <mergeCell ref="J2:O2"/>
    <mergeCell ref="J4:O4"/>
    <mergeCell ref="C11:N11"/>
    <mergeCell ref="B6:T7"/>
    <mergeCell ref="B26:O27"/>
    <mergeCell ref="Q15:T15"/>
    <mergeCell ref="C25:O25"/>
    <mergeCell ref="J12:J13"/>
    <mergeCell ref="K12:K13"/>
    <mergeCell ref="E12:E13"/>
    <mergeCell ref="D12:D13"/>
    <mergeCell ref="C12:C13"/>
    <mergeCell ref="F12:F13"/>
    <mergeCell ref="G12:G13"/>
    <mergeCell ref="B9:T9"/>
    <mergeCell ref="Q11:T13"/>
    <mergeCell ref="I12:I13"/>
    <mergeCell ref="L12:L13"/>
    <mergeCell ref="M12:M13"/>
    <mergeCell ref="H12:H13"/>
    <mergeCell ref="N12:N13"/>
  </mergeCells>
  <conditionalFormatting sqref="R16:R23 R5 R10">
    <cfRule type="cellIs" priority="2" dxfId="2" operator="notEqual" stopIfTrue="1">
      <formula>0</formula>
    </cfRule>
  </conditionalFormatting>
  <conditionalFormatting sqref="R24:R26">
    <cfRule type="cellIs" priority="3" dxfId="1" operator="greaterThan" stopIfTrue="1">
      <formula>8</formula>
    </cfRule>
  </conditionalFormatting>
  <conditionalFormatting sqref="C24:O24">
    <cfRule type="cellIs" priority="1" dxfId="0" operator="equal" stopIfTrue="1">
      <formula>"ERRORE"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U27"/>
  <sheetViews>
    <sheetView zoomScale="120" zoomScaleNormal="120" zoomScalePageLayoutView="0" workbookViewId="0" topLeftCell="A10">
      <selection activeCell="N17" sqref="N17"/>
    </sheetView>
  </sheetViews>
  <sheetFormatPr defaultColWidth="9.140625" defaultRowHeight="12.75"/>
  <cols>
    <col min="1" max="1" width="5.421875" style="0" customWidth="1"/>
    <col min="2" max="2" width="7.28125" style="0" customWidth="1"/>
    <col min="3" max="14" width="4.7109375" style="0" bestFit="1" customWidth="1"/>
    <col min="15" max="15" width="6.57421875" style="0" customWidth="1"/>
    <col min="16" max="16" width="7.7109375" style="0" customWidth="1"/>
    <col min="17" max="17" width="3.8515625" style="0" customWidth="1"/>
    <col min="18" max="18" width="7.28125" style="0" customWidth="1"/>
    <col min="19" max="19" width="6.28125" style="0" customWidth="1"/>
    <col min="20" max="20" width="11.57421875" style="0" customWidth="1"/>
    <col min="21" max="21" width="10.140625" style="0" customWidth="1"/>
  </cols>
  <sheetData>
    <row r="1" spans="10:15" ht="12.75" customHeight="1">
      <c r="J1" s="258" t="s">
        <v>0</v>
      </c>
      <c r="K1" s="273"/>
      <c r="L1" s="273"/>
      <c r="M1" s="273"/>
      <c r="N1" s="273"/>
      <c r="O1" s="273"/>
    </row>
    <row r="2" spans="10:15" ht="12.75" customHeight="1">
      <c r="J2" s="277" t="s">
        <v>22</v>
      </c>
      <c r="K2" s="273"/>
      <c r="L2" s="273"/>
      <c r="M2" s="273"/>
      <c r="N2" s="273"/>
      <c r="O2" s="273"/>
    </row>
    <row r="3" spans="2:18" ht="12.75" customHeight="1">
      <c r="B3" s="1"/>
      <c r="C3" s="1"/>
      <c r="R3" s="5"/>
    </row>
    <row r="4" spans="10:15" ht="12.75" customHeight="1">
      <c r="J4" s="274" t="s">
        <v>23</v>
      </c>
      <c r="K4" s="273"/>
      <c r="L4" s="273"/>
      <c r="M4" s="273"/>
      <c r="N4" s="273"/>
      <c r="O4" s="273"/>
    </row>
    <row r="5" ht="12.75" customHeight="1"/>
    <row r="6" spans="2:20" ht="14.25" customHeight="1">
      <c r="B6" s="249" t="s">
        <v>37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2:20" ht="14.25" customHeight="1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2:20" ht="12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2:20" ht="14.25" customHeight="1">
      <c r="B9" s="255" t="s">
        <v>30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ht="12.75" customHeight="1" thickBot="1">
      <c r="R10" s="5"/>
    </row>
    <row r="11" spans="2:21" ht="13.5" customHeight="1" thickTop="1">
      <c r="B11" s="44"/>
      <c r="C11" s="270" t="s">
        <v>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  <c r="O11" s="44"/>
      <c r="Q11" s="259" t="s">
        <v>26</v>
      </c>
      <c r="R11" s="260"/>
      <c r="S11" s="260"/>
      <c r="T11" s="260"/>
      <c r="U11" s="267">
        <f>spoglio!P20</f>
        <v>1012</v>
      </c>
    </row>
    <row r="12" spans="2:21" ht="13.5" customHeight="1">
      <c r="B12" s="45"/>
      <c r="C12" s="250">
        <v>1</v>
      </c>
      <c r="D12" s="250">
        <v>2</v>
      </c>
      <c r="E12" s="250">
        <v>3</v>
      </c>
      <c r="F12" s="250">
        <v>4</v>
      </c>
      <c r="G12" s="250">
        <v>5</v>
      </c>
      <c r="H12" s="250">
        <v>6</v>
      </c>
      <c r="I12" s="250">
        <v>7</v>
      </c>
      <c r="J12" s="250">
        <v>8</v>
      </c>
      <c r="K12" s="250">
        <v>9</v>
      </c>
      <c r="L12" s="250">
        <v>10</v>
      </c>
      <c r="M12" s="250">
        <v>11</v>
      </c>
      <c r="N12" s="250">
        <v>12</v>
      </c>
      <c r="O12" s="45"/>
      <c r="Q12" s="261"/>
      <c r="R12" s="262"/>
      <c r="S12" s="262"/>
      <c r="T12" s="262"/>
      <c r="U12" s="268"/>
    </row>
    <row r="13" spans="2:21" ht="14.25" customHeight="1" thickBot="1">
      <c r="B13" s="45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45"/>
      <c r="Q13" s="263"/>
      <c r="R13" s="264"/>
      <c r="S13" s="264"/>
      <c r="T13" s="264"/>
      <c r="U13" s="269"/>
    </row>
    <row r="14" spans="2:15" ht="14.25" customHeight="1" thickTop="1">
      <c r="B14" s="46"/>
      <c r="C14" s="43">
        <f>12-((C22&gt;D22)+(C22&gt;E22)+(C22&gt;F22)+(C22&gt;G22)+(C22&gt;H22)+(C22&gt;I22)+(C22&gt;J22)+(C22&gt;K22)+(C22&gt;L22)+(C22&gt;M22)+(C22&gt;N22))</f>
        <v>3</v>
      </c>
      <c r="D14" s="43">
        <f>12-((D22&gt;C22)+(D22&gt;E22)+(D22&gt;F22)+(D22&gt;G22)+(D22&gt;H22)+(D22&gt;I22)+(D22&gt;J22)+(D22&gt;K22)+(D22&gt;L22)+(D22&gt;M22)+(D22&gt;N22))</f>
        <v>7</v>
      </c>
      <c r="E14" s="43">
        <f>12-((E22&gt;C22)+(E22&gt;D22)+(E22&gt;F22)+(E22&gt;G22)+(E22&gt;H22)+(E22&gt;I22)+(E22&gt;J22)+(E22&gt;K22)+(E22&gt;L22)+(E22&gt;M22)+(E22&gt;N22))</f>
        <v>5</v>
      </c>
      <c r="F14" s="43">
        <f>12-((F22&gt;C22)+(F22&gt;D22)+(F22&gt;E22)+(F22&gt;G22)+(F22&gt;H22)+(F22&gt;I22)+(F22&gt;J22)+(F22&gt;K22)+(F22&gt;L22)+(F22&gt;M22)+(F22&gt;N22))</f>
        <v>10</v>
      </c>
      <c r="G14" s="43">
        <f>12-((G22&gt;C22)+(G22&gt;D22)+(G22&gt;E22)+(G22&gt;F22)+(G22&gt;H22)+(G22&gt;I22)+(G22&gt;J22)+(G22&gt;K22)+(G22&gt;L22)+(G22&gt;M22)+(G22&gt;N22))</f>
        <v>9</v>
      </c>
      <c r="H14" s="43">
        <f>12-((H22&gt;C22)+(H22&gt;D22)+(H22&gt;E22)+(H22&gt;F22)+(H22&gt;G22)+(H22&gt;I22)+(H22&gt;J22)+(H22&gt;K22)+(H22&gt;L22)+(H22&gt;M22)+(H22&gt;N22))</f>
        <v>4</v>
      </c>
      <c r="I14" s="43">
        <f>12-((I22&gt;C22)+(I22&gt;D22)+(I22&gt;E22)+(I22&gt;F22)+(I22&gt;G22)+(I22&gt;H22)+(I22&gt;J22)+(I22&gt;K22)+(I22&gt;L22)+(I22&gt;M22)+(I22&gt;N22))</f>
        <v>6</v>
      </c>
      <c r="J14" s="43">
        <f>12-((J22&gt;C22)+(J22&gt;D22)+(J22&gt;E22)+(J22&gt;F22)+(J22&gt;G22)+(J22&gt;H22)+(J22&gt;I22)+(J22&gt;K22)+(J22&gt;L22)+(J22&gt;M22)+(J22&gt;N22))</f>
        <v>8</v>
      </c>
      <c r="K14" s="43">
        <f>12-((K22&gt;C22)+(K22&gt;D22)+(K22&gt;E22)+(K22&gt;F22)+(K22&gt;G22)+(K22&gt;H22)+(K22&gt;I22)+(K22&gt;J22)+(K22&gt;L22)+(K22&gt;M22)+(K22&gt;N22))</f>
        <v>2</v>
      </c>
      <c r="L14" s="43">
        <f>12-((L22&gt;C22)+(L22&gt;D22)+(L22&gt;E22)+(L22&gt;F22)+(L22&gt;G22)+(L22&gt;H22)+(L22&gt;I22)+(L22&gt;J22)+(L22&gt;K22)+(L22&gt;M22)+(L22&gt;N22))</f>
        <v>11</v>
      </c>
      <c r="M14" s="43">
        <f>12-((M22&gt;C22)+(M22&gt;D22)+(M22&gt;E22)+(M22&gt;F22)+(M22&gt;G22)+(M22&gt;H22)+(M22&gt;I22)+(M22&gt;J22)+(M22&gt;K22)+(M22&gt;L22)+(M22&gt;N22))</f>
        <v>1</v>
      </c>
      <c r="N14" s="43">
        <f>12-((N22&gt;C22)+(N22&gt;D22)+(N22&gt;E22)+(N22&gt;F22)+(N22&gt;G22)+(N22&gt;H22)+(N22&gt;I22)+(N22&gt;J22)+(N22&gt;K22)+(N22&gt;L22)+(N22&gt;M22))</f>
        <v>12</v>
      </c>
      <c r="O14" s="46"/>
    </row>
    <row r="15" spans="2:21" ht="110.25" customHeight="1">
      <c r="B15" s="33" t="s">
        <v>2</v>
      </c>
      <c r="C15" s="6" t="s">
        <v>75</v>
      </c>
      <c r="D15" s="6" t="s">
        <v>76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  <c r="K15" s="6" t="s">
        <v>83</v>
      </c>
      <c r="L15" s="6" t="s">
        <v>84</v>
      </c>
      <c r="M15" s="6" t="s">
        <v>85</v>
      </c>
      <c r="N15" s="3" t="s">
        <v>86</v>
      </c>
      <c r="O15" s="34" t="s">
        <v>1</v>
      </c>
      <c r="Q15" s="252" t="s">
        <v>21</v>
      </c>
      <c r="R15" s="275"/>
      <c r="S15" s="275"/>
      <c r="T15" s="276"/>
      <c r="U15" s="59" t="s">
        <v>25</v>
      </c>
    </row>
    <row r="16" spans="2:21" ht="14.25" customHeight="1">
      <c r="B16" s="61">
        <v>1</v>
      </c>
      <c r="C16" s="62">
        <v>25</v>
      </c>
      <c r="D16" s="62">
        <v>13</v>
      </c>
      <c r="E16" s="62">
        <v>13</v>
      </c>
      <c r="F16" s="62">
        <v>6</v>
      </c>
      <c r="G16" s="62">
        <v>13</v>
      </c>
      <c r="H16" s="62">
        <v>13</v>
      </c>
      <c r="I16" s="62">
        <v>13</v>
      </c>
      <c r="J16" s="62">
        <v>11</v>
      </c>
      <c r="K16" s="62">
        <v>71</v>
      </c>
      <c r="L16" s="62">
        <v>4</v>
      </c>
      <c r="M16" s="62">
        <v>80</v>
      </c>
      <c r="N16" s="63">
        <v>1</v>
      </c>
      <c r="O16" s="75">
        <f aca="true" t="shared" si="0" ref="O16:O21">SUM(C16:N16)</f>
        <v>263</v>
      </c>
      <c r="Q16" s="36" t="str">
        <f>IF(R16&gt;0,"1")</f>
        <v>1</v>
      </c>
      <c r="R16" s="47" t="str">
        <f>IF(ISNA(HLOOKUP(1,C14:N27,2,FALSE)),"",HLOOKUP(1,C14:N16,2,FALSE))</f>
        <v>ROCCO SINDACO</v>
      </c>
      <c r="S16" s="48"/>
      <c r="T16" s="49"/>
      <c r="U16" s="122" t="str">
        <f>IF(C14=1,C23,IF(D14=1,D23,IF(E14=1,E23,IF(F14=1,F23,IF(G14=1,G23,IF(H14=1,H23,IF(I14=1,I23,IF(J14=1,J23,))))))))&amp;IF(K14=1,K23,IF(L14=1,L23,IF(M14=1,M23,IF(N14=1,N23,""))))</f>
        <v>1330</v>
      </c>
    </row>
    <row r="17" spans="2:21" ht="14.25" customHeight="1">
      <c r="B17" s="64">
        <v>2</v>
      </c>
      <c r="C17" s="65">
        <v>10</v>
      </c>
      <c r="D17" s="65">
        <v>19</v>
      </c>
      <c r="E17" s="65">
        <v>13</v>
      </c>
      <c r="F17" s="65">
        <v>8</v>
      </c>
      <c r="G17" s="65">
        <v>11</v>
      </c>
      <c r="H17" s="65">
        <v>24</v>
      </c>
      <c r="I17" s="65">
        <v>24</v>
      </c>
      <c r="J17" s="65">
        <v>8</v>
      </c>
      <c r="K17" s="65">
        <v>46</v>
      </c>
      <c r="L17" s="65">
        <v>2</v>
      </c>
      <c r="M17" s="65">
        <v>44</v>
      </c>
      <c r="N17" s="66">
        <v>4</v>
      </c>
      <c r="O17" s="76">
        <f t="shared" si="0"/>
        <v>213</v>
      </c>
      <c r="Q17" s="37" t="str">
        <f>IF(R17&gt;0,"2")</f>
        <v>2</v>
      </c>
      <c r="R17" s="50" t="str">
        <f>IF(ISNA(HLOOKUP(2,C14:N16,2,FALSE)),"",HLOOKUP(2,C14:N16,2,FALSE))</f>
        <v>MARTA ROSSETTI</v>
      </c>
      <c r="S17" s="51"/>
      <c r="T17" s="52"/>
      <c r="U17" s="123" t="str">
        <f>IF(C14=2,C23,IF(D14=2,D23,IF(E14=2,E23,IF(F14=2,F23,IF(G14=2,G23,IF(H14=2,H23,IF(I14=2,I23,IF(J14=2,J23,))))))))&amp;IF(K14=2,K23,IF(L14=2,L23,IF(M14=2,M23,IF(N14=2,N23,""))))</f>
        <v>1312</v>
      </c>
    </row>
    <row r="18" spans="2:21" ht="14.25" customHeight="1">
      <c r="B18" s="64">
        <v>3</v>
      </c>
      <c r="C18" s="65">
        <v>8</v>
      </c>
      <c r="D18" s="65">
        <v>9</v>
      </c>
      <c r="E18" s="65">
        <v>22</v>
      </c>
      <c r="F18" s="65">
        <v>9</v>
      </c>
      <c r="G18" s="65">
        <v>6</v>
      </c>
      <c r="H18" s="65">
        <v>21</v>
      </c>
      <c r="I18" s="65">
        <v>9</v>
      </c>
      <c r="J18" s="65">
        <v>9</v>
      </c>
      <c r="K18" s="65">
        <v>36</v>
      </c>
      <c r="L18" s="65">
        <v>4</v>
      </c>
      <c r="M18" s="65">
        <v>39</v>
      </c>
      <c r="N18" s="66">
        <v>1</v>
      </c>
      <c r="O18" s="76">
        <f t="shared" si="0"/>
        <v>173</v>
      </c>
      <c r="Q18" s="37" t="str">
        <f>IF(R18&gt;0,"3")</f>
        <v>3</v>
      </c>
      <c r="R18" s="50" t="str">
        <f>IF(ISNA(HLOOKUP(3,C14:N16,2,FALSE)),"",HLOOKUP(3,C14:N16,2,FALSE))</f>
        <v>ANNAELISA COSTA</v>
      </c>
      <c r="S18" s="51"/>
      <c r="T18" s="52"/>
      <c r="U18" s="124" t="str">
        <f>IF(C14=3,C23,IF(D14=3,D23,IF(E14=3,E23,IF(F14=3,F23,IF(G14=3,G23,IF(H14=3,H23,IF(I14=3,I23,IF(J14=3,J23,))))))))&amp;IF(K14=3,K23,IF(L14=3,L23,IF(M14=3,M23,IF(N14=3,N23,""))))</f>
        <v>1147</v>
      </c>
    </row>
    <row r="19" spans="2:21" ht="14.25" customHeight="1">
      <c r="B19" s="64">
        <v>4</v>
      </c>
      <c r="C19" s="65">
        <v>33</v>
      </c>
      <c r="D19" s="65">
        <v>21</v>
      </c>
      <c r="E19" s="65">
        <v>24</v>
      </c>
      <c r="F19" s="65">
        <v>6</v>
      </c>
      <c r="G19" s="65">
        <v>12</v>
      </c>
      <c r="H19" s="65">
        <v>31</v>
      </c>
      <c r="I19" s="65">
        <v>22</v>
      </c>
      <c r="J19" s="65">
        <v>31</v>
      </c>
      <c r="K19" s="65">
        <v>51</v>
      </c>
      <c r="L19" s="65">
        <v>16</v>
      </c>
      <c r="M19" s="65">
        <v>57</v>
      </c>
      <c r="N19" s="66">
        <v>2</v>
      </c>
      <c r="O19" s="76">
        <f t="shared" si="0"/>
        <v>306</v>
      </c>
      <c r="Q19" s="37" t="str">
        <f>IF(R19&gt;0,"4")</f>
        <v>4</v>
      </c>
      <c r="R19" s="50" t="str">
        <f>IF(ISNA(HLOOKUP(4,C14:N16,2,FALSE)),"",HLOOKUP(4,C14:N16,2,FALSE))</f>
        <v>CARLO MARRA</v>
      </c>
      <c r="S19" s="51"/>
      <c r="T19" s="52"/>
      <c r="U19" s="124" t="str">
        <f>IF(C14=4,C23,IF(D14=4,D23,IF(E14=4,E23,IF(F14=4,F23,IF(G14=4,G23,IF(H14=4,H23,IF(I14=4,I23,IF(J14=4,J23,))))))))&amp;IF(K14=4,K23,IF(L14=4,L23,IF(M14=4,M23,IF(N14=4,N23,""))))</f>
        <v>1141</v>
      </c>
    </row>
    <row r="20" spans="2:21" ht="14.25" customHeight="1">
      <c r="B20" s="64">
        <v>5</v>
      </c>
      <c r="C20" s="65">
        <v>33</v>
      </c>
      <c r="D20" s="65">
        <v>19</v>
      </c>
      <c r="E20" s="65">
        <v>17</v>
      </c>
      <c r="F20" s="65">
        <v>10</v>
      </c>
      <c r="G20" s="65">
        <v>10</v>
      </c>
      <c r="H20" s="65">
        <v>15</v>
      </c>
      <c r="I20" s="65">
        <v>16</v>
      </c>
      <c r="J20" s="65">
        <v>16</v>
      </c>
      <c r="K20" s="65">
        <v>41</v>
      </c>
      <c r="L20" s="65">
        <v>7</v>
      </c>
      <c r="M20" s="65">
        <v>41</v>
      </c>
      <c r="N20" s="66">
        <v>0</v>
      </c>
      <c r="O20" s="76">
        <f t="shared" si="0"/>
        <v>225</v>
      </c>
      <c r="Q20" s="37" t="str">
        <f>IF(R20&gt;0,"5")</f>
        <v>5</v>
      </c>
      <c r="R20" s="50" t="str">
        <f>IF(ISNA(HLOOKUP(5,C14:N16,2,FALSE)),"",HLOOKUP(5,C14:N16,2,FALSE))</f>
        <v>VINCENZO LONGO</v>
      </c>
      <c r="S20" s="51"/>
      <c r="T20" s="52"/>
      <c r="U20" s="124" t="str">
        <f>IF(C14=5,C23,IF(D14=5,D23,IF(E14=5,E23,IF(F14=5,F23,IF(G14=5,G23,IF(H14=5,H23,IF(I14=5,I23,IF(J14=5,J23,))))))))&amp;IF(K14=5,K23,IF(L14=5,L23,IF(M14=5,M23,IF(N14=5,N23,""))))</f>
        <v>1115</v>
      </c>
    </row>
    <row r="21" spans="2:21" ht="14.25" customHeight="1">
      <c r="B21" s="67">
        <v>6</v>
      </c>
      <c r="C21" s="68">
        <v>26</v>
      </c>
      <c r="D21" s="68">
        <v>10</v>
      </c>
      <c r="E21" s="68">
        <v>14</v>
      </c>
      <c r="F21" s="68">
        <v>8</v>
      </c>
      <c r="G21" s="68">
        <v>24</v>
      </c>
      <c r="H21" s="68">
        <v>25</v>
      </c>
      <c r="I21" s="68">
        <v>13</v>
      </c>
      <c r="J21" s="68">
        <v>15</v>
      </c>
      <c r="K21" s="68">
        <v>55</v>
      </c>
      <c r="L21" s="68">
        <v>6</v>
      </c>
      <c r="M21" s="68">
        <v>57</v>
      </c>
      <c r="N21" s="69">
        <v>13</v>
      </c>
      <c r="O21" s="77">
        <f t="shared" si="0"/>
        <v>266</v>
      </c>
      <c r="Q21" s="37" t="str">
        <f>IF(R21&gt;0,"6")</f>
        <v>6</v>
      </c>
      <c r="R21" s="50" t="str">
        <f>IF(ISNA(HLOOKUP(6,C14:N16,2,FALSE)),"",HLOOKUP(6,C14:N16,2,FALSE))</f>
        <v>MAURIZIO POTENZA</v>
      </c>
      <c r="S21" s="51"/>
      <c r="T21" s="52"/>
      <c r="U21" s="124" t="str">
        <f>IF(C14=6,C23,IF(D14=6,D23,IF(E14=6,E23,IF(F14=6,F23,IF(G14=6,G23,IF(H14=6,H23,IF(I14=6,I23,IF(J14=6,J23,))))))))&amp;IF(K14=6,K23,IF(L14=6,L23,IF(M14=6,M23,IF(N14=6,N23,""))))</f>
        <v>1109</v>
      </c>
    </row>
    <row r="22" spans="2:21" ht="14.25" customHeight="1">
      <c r="B22" s="70" t="s">
        <v>1</v>
      </c>
      <c r="C22" s="114">
        <f aca="true" t="shared" si="1" ref="C22:O22">SUM(C16:C21)</f>
        <v>135</v>
      </c>
      <c r="D22" s="114">
        <f t="shared" si="1"/>
        <v>91</v>
      </c>
      <c r="E22" s="114">
        <f t="shared" si="1"/>
        <v>103</v>
      </c>
      <c r="F22" s="114">
        <f t="shared" si="1"/>
        <v>47</v>
      </c>
      <c r="G22" s="114">
        <f t="shared" si="1"/>
        <v>76</v>
      </c>
      <c r="H22" s="114">
        <f t="shared" si="1"/>
        <v>129</v>
      </c>
      <c r="I22" s="114">
        <f t="shared" si="1"/>
        <v>97</v>
      </c>
      <c r="J22" s="114">
        <f t="shared" si="1"/>
        <v>90</v>
      </c>
      <c r="K22" s="114">
        <f t="shared" si="1"/>
        <v>300</v>
      </c>
      <c r="L22" s="114">
        <f t="shared" si="1"/>
        <v>39</v>
      </c>
      <c r="M22" s="114">
        <f t="shared" si="1"/>
        <v>318</v>
      </c>
      <c r="N22" s="115">
        <f t="shared" si="1"/>
        <v>21</v>
      </c>
      <c r="O22" s="78">
        <f t="shared" si="1"/>
        <v>1446</v>
      </c>
      <c r="Q22" s="37" t="str">
        <f>IF(R22&gt;0,"7")</f>
        <v>7</v>
      </c>
      <c r="R22" s="50" t="str">
        <f>IF(ISNA(HLOOKUP(7,C14:N16,2,FALSE)),"",HLOOKUP(7,C14:N16,2,FALSE))</f>
        <v>MANUELA DE PREZZO</v>
      </c>
      <c r="S22" s="51"/>
      <c r="T22" s="52"/>
      <c r="U22" s="124" t="str">
        <f>IF(C14=7,C23,IF(D14=7,D23,IF(E14=7,E23,IF(F14=7,F23,IF(G14=7,G23,IF(H14=7,H23,IF(I14=7,I23,IF(J14=7,J23,))))))))&amp;IF(K14=7,K23,IF(L14=7,L23,IF(M14=7,M23,IF(N14=7,N23,""))))</f>
        <v>1103</v>
      </c>
    </row>
    <row r="23" spans="2:21" ht="14.25" customHeight="1">
      <c r="B23" s="71" t="s">
        <v>24</v>
      </c>
      <c r="C23" s="116">
        <f>U11+C22</f>
        <v>1147</v>
      </c>
      <c r="D23" s="116">
        <f>U11+D22</f>
        <v>1103</v>
      </c>
      <c r="E23" s="116">
        <f>U11+E22</f>
        <v>1115</v>
      </c>
      <c r="F23" s="116">
        <f>U11+F22</f>
        <v>1059</v>
      </c>
      <c r="G23" s="116">
        <f>U11+G22</f>
        <v>1088</v>
      </c>
      <c r="H23" s="116">
        <f>U11+H22</f>
        <v>1141</v>
      </c>
      <c r="I23" s="116">
        <f>U11+I22</f>
        <v>1109</v>
      </c>
      <c r="J23" s="116">
        <f>U11+J22</f>
        <v>1102</v>
      </c>
      <c r="K23" s="116">
        <f>U11+K22</f>
        <v>1312</v>
      </c>
      <c r="L23" s="116">
        <f>U11+L22</f>
        <v>1051</v>
      </c>
      <c r="M23" s="116">
        <f>U11+M22</f>
        <v>1330</v>
      </c>
      <c r="N23" s="116">
        <f>U11+N22</f>
        <v>1033</v>
      </c>
      <c r="O23" s="79">
        <f>O22+U11</f>
        <v>2458</v>
      </c>
      <c r="Q23" s="37" t="str">
        <f>IF(R23&gt;0,"8")</f>
        <v>8</v>
      </c>
      <c r="R23" s="50" t="str">
        <f>IF(ISNA(HLOOKUP(8,C14:N16,2,FALSE)),"",HLOOKUP(8,C14:N16,2,FALSE))</f>
        <v>ROCCO ANTONIO RESTA</v>
      </c>
      <c r="S23" s="51"/>
      <c r="T23" s="52"/>
      <c r="U23" s="124" t="str">
        <f>IF(C14=8,C23,IF(D14=8,D23,IF(E14=8,E23,IF(F14=8,F23,IF(G14=8,G23,IF(H14=8,H23,IF(I14=8,I23,IF(J14=8,J23,))))))))&amp;IF(K14=8,K23,IF(L14=8,L23,IF(M14=8,M23,IF(N14=8,N23,""))))</f>
        <v>1102</v>
      </c>
    </row>
    <row r="24" spans="2:21" ht="14.25" customHeight="1">
      <c r="B24" s="72"/>
      <c r="C24" s="94">
        <f>IF(C23&gt;U11*2,"ERRORE","")</f>
      </c>
      <c r="D24" s="94">
        <f>IF(D23&gt;U11*2,"ERRORE","")</f>
      </c>
      <c r="E24" s="94">
        <f>IF(E23&gt;U11*2,"ERRORE","")</f>
      </c>
      <c r="F24" s="94">
        <f>IF(F23&gt;U11*2,"ERRORE","")</f>
      </c>
      <c r="G24" s="94">
        <f>IF(G23&gt;U11*2,"ERRORE","")</f>
      </c>
      <c r="H24" s="94">
        <f>IF(H23&gt;U11*2,"ERRORE","")</f>
      </c>
      <c r="I24" s="94">
        <f>IF(I23&gt;U11*2,"ERRORE","")</f>
      </c>
      <c r="J24" s="94">
        <f>IF(J23&gt;U11*2,"ERRORE","")</f>
      </c>
      <c r="K24" s="94">
        <f>IF(K23&gt;U11*2,"ERRORE","")</f>
      </c>
      <c r="L24" s="94">
        <f>IF(L23&gt;U11*2,"ERRORE","")</f>
      </c>
      <c r="M24" s="94">
        <f>IF(M23&gt;U11*2,"ERRORE","")</f>
      </c>
      <c r="N24" s="94">
        <f>IF(N23&gt;U11*2,"ERRORE","")</f>
      </c>
      <c r="O24" s="94"/>
      <c r="Q24" s="38" t="str">
        <f>IF(R24&gt;0,"9")</f>
        <v>9</v>
      </c>
      <c r="R24" s="98" t="str">
        <f>IF(ISNA(HLOOKUP(9,C14:N16,2,FALSE)),"",HLOOKUP(9,C14:N16,2,FALSE))</f>
        <v>FABRIZIO MANGIA</v>
      </c>
      <c r="S24" s="53"/>
      <c r="T24" s="54"/>
      <c r="U24" s="124" t="str">
        <f>IF(C14=9,C23,IF(D14=9,D23,IF(E14=9,E23,IF(F14=9,F23,IF(G14=9,G23,IF(H14=9,H23,IF(I14=9,I23,IF(J14=9,J23,))))))))&amp;IF(K14=9,K23,IF(L14=9,L23,IF(M14=9,M23,IF(N14=9,N23,""))))</f>
        <v>1088</v>
      </c>
    </row>
    <row r="25" spans="17:21" ht="12.75" customHeight="1">
      <c r="Q25" s="38" t="str">
        <f>IF(R25&gt;0,"10")</f>
        <v>10</v>
      </c>
      <c r="R25" s="98" t="str">
        <f>IF(ISNA(HLOOKUP(10,C14:N16,2,FALSE)),"",HLOOKUP(10,C14:N16,2,FALSE))</f>
        <v>LEONARDO MALERBA</v>
      </c>
      <c r="S25" s="53"/>
      <c r="T25" s="54"/>
      <c r="U25" s="124" t="str">
        <f>IF(C14=10,C23,IF(D14=10,D23,IF(E14=10,E23,IF(F14=10,F23,IF(G14=10,G23,IF(H14=10,H23,IF(I14=10,I23,IF(J14=10,J23,))))))))&amp;IF(K14=10,K23,IF(L14=10,L23,IF(M14=10,M23,IF(N14=10,N23,""))))</f>
        <v>1059</v>
      </c>
    </row>
    <row r="26" spans="2:21" ht="12.75" customHeight="1">
      <c r="B26" s="243" t="s">
        <v>74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113"/>
      <c r="Q26" s="38" t="str">
        <f>IF(R26&gt;0,"11")</f>
        <v>11</v>
      </c>
      <c r="R26" s="98" t="str">
        <f>IF(ISNA(HLOOKUP(11,C14:N16,2,FALSE)),"",HLOOKUP(11,C14:N16,2,FALSE))</f>
        <v>MARIA ROSARIA SEDILE</v>
      </c>
      <c r="S26" s="53"/>
      <c r="T26" s="54"/>
      <c r="U26" s="124" t="str">
        <f>IF(C14=11,C23,IF(D14=11,D23,IF(E14=11,E23,IF(F14=11,F23,IF(G14=11,G23,IF(H14=11,H23,IF(I14=11,I23,IF(J14=11,J23,))))))))&amp;IF(K14=11,K23,IF(L14=11,L23,IF(M14=11,M23,IF(N14=11,N23,""))))</f>
        <v>1051</v>
      </c>
    </row>
    <row r="27" spans="2:2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  <c r="P27" s="113"/>
      <c r="Q27" s="39" t="str">
        <f>IF(R27&gt;0,"12")</f>
        <v>12</v>
      </c>
      <c r="R27" s="99" t="str">
        <f>IF(ISNA(HLOOKUP(12,C14:N16,2,FALSE)),"",HLOOKUP(12,C14:N16,2,FALSE))</f>
        <v>MARIO SPECCHIARELLI</v>
      </c>
      <c r="S27" s="55"/>
      <c r="T27" s="56"/>
      <c r="U27" s="125" t="str">
        <f>IF(C14=12,C23,IF(D14=12,D23,IF(E14=12,E23,IF(F14=12,F23,IF(G14=12,G23,IF(H14=12,H23,IF(I14=12,I23,IF(J14=12,J23,))))))))&amp;IF(K14=12,K23,IF(L14=12,L23,IF(M14=12,M23,IF(N14=12,N23,""))))</f>
        <v>1033</v>
      </c>
    </row>
  </sheetData>
  <sheetProtection/>
  <mergeCells count="22">
    <mergeCell ref="Q11:T13"/>
    <mergeCell ref="U11:U13"/>
    <mergeCell ref="H12:H13"/>
    <mergeCell ref="J4:O4"/>
    <mergeCell ref="B6:T7"/>
    <mergeCell ref="K12:K13"/>
    <mergeCell ref="B26:O27"/>
    <mergeCell ref="B9:T9"/>
    <mergeCell ref="C11:N11"/>
    <mergeCell ref="L12:L13"/>
    <mergeCell ref="F12:F13"/>
    <mergeCell ref="C12:C13"/>
    <mergeCell ref="D12:D13"/>
    <mergeCell ref="E12:E13"/>
    <mergeCell ref="Q15:T15"/>
    <mergeCell ref="N12:N13"/>
    <mergeCell ref="J1:O1"/>
    <mergeCell ref="M12:M13"/>
    <mergeCell ref="G12:G13"/>
    <mergeCell ref="I12:I13"/>
    <mergeCell ref="J12:J13"/>
    <mergeCell ref="J2:O2"/>
  </mergeCells>
  <conditionalFormatting sqref="R16:R23 R3 R10">
    <cfRule type="cellIs" priority="2" dxfId="2" operator="notEqual" stopIfTrue="1">
      <formula>0</formula>
    </cfRule>
  </conditionalFormatting>
  <conditionalFormatting sqref="R24:R26">
    <cfRule type="cellIs" priority="3" dxfId="1" operator="greaterThan" stopIfTrue="1">
      <formula>8</formula>
    </cfRule>
  </conditionalFormatting>
  <conditionalFormatting sqref="C24:O24">
    <cfRule type="cellIs" priority="1" dxfId="0" operator="equal" stopIfTrue="1">
      <formula>"ERRORE"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U27"/>
  <sheetViews>
    <sheetView tabSelected="1" zoomScale="120" zoomScaleNormal="120" zoomScalePageLayoutView="0" workbookViewId="0" topLeftCell="A1">
      <selection activeCell="U19" sqref="U19"/>
    </sheetView>
  </sheetViews>
  <sheetFormatPr defaultColWidth="9.140625" defaultRowHeight="12.75"/>
  <cols>
    <col min="1" max="1" width="5.421875" style="0" customWidth="1"/>
    <col min="2" max="2" width="7.28125" style="0" customWidth="1"/>
    <col min="3" max="14" width="4.7109375" style="0" bestFit="1" customWidth="1"/>
    <col min="15" max="15" width="6.57421875" style="0" customWidth="1"/>
    <col min="16" max="16" width="7.7109375" style="0" customWidth="1"/>
    <col min="17" max="17" width="3.8515625" style="0" customWidth="1"/>
    <col min="18" max="18" width="7.28125" style="0" customWidth="1"/>
    <col min="19" max="19" width="6.28125" style="0" customWidth="1"/>
    <col min="20" max="20" width="11.57421875" style="0" customWidth="1"/>
    <col min="21" max="21" width="10.140625" style="0" customWidth="1"/>
  </cols>
  <sheetData>
    <row r="1" spans="10:15" ht="12.75" customHeight="1">
      <c r="J1" s="258" t="s">
        <v>0</v>
      </c>
      <c r="K1" s="273"/>
      <c r="L1" s="273"/>
      <c r="M1" s="273"/>
      <c r="N1" s="273"/>
      <c r="O1" s="273"/>
    </row>
    <row r="2" spans="10:15" ht="12.75" customHeight="1">
      <c r="J2" s="277" t="s">
        <v>22</v>
      </c>
      <c r="K2" s="273"/>
      <c r="L2" s="273"/>
      <c r="M2" s="273"/>
      <c r="N2" s="273"/>
      <c r="O2" s="273"/>
    </row>
    <row r="3" spans="2:18" ht="12.75" customHeight="1">
      <c r="B3" s="1"/>
      <c r="C3" s="1"/>
      <c r="R3" s="5"/>
    </row>
    <row r="4" spans="10:15" ht="12.75" customHeight="1">
      <c r="J4" s="274" t="s">
        <v>23</v>
      </c>
      <c r="K4" s="273"/>
      <c r="L4" s="273"/>
      <c r="M4" s="273"/>
      <c r="N4" s="273"/>
      <c r="O4" s="273"/>
    </row>
    <row r="5" ht="12.75" customHeight="1"/>
    <row r="6" spans="2:20" ht="14.25" customHeight="1">
      <c r="B6" s="249" t="s">
        <v>37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2:20" ht="14.25" customHeight="1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2:20" ht="12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2:20" ht="14.25" customHeight="1">
      <c r="B9" s="255" t="s">
        <v>39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ht="12.75" customHeight="1" thickBot="1">
      <c r="R10" s="5"/>
    </row>
    <row r="11" spans="2:21" ht="13.5" customHeight="1" thickTop="1">
      <c r="B11" s="44"/>
      <c r="C11" s="270" t="s">
        <v>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  <c r="O11" s="44"/>
      <c r="Q11" s="259" t="s">
        <v>26</v>
      </c>
      <c r="R11" s="260"/>
      <c r="S11" s="260"/>
      <c r="T11" s="260"/>
      <c r="U11" s="267">
        <f>spoglio!Q20</f>
        <v>967</v>
      </c>
    </row>
    <row r="12" spans="2:21" ht="13.5" customHeight="1">
      <c r="B12" s="45"/>
      <c r="C12" s="250">
        <v>1</v>
      </c>
      <c r="D12" s="250">
        <v>2</v>
      </c>
      <c r="E12" s="250">
        <v>3</v>
      </c>
      <c r="F12" s="250">
        <v>4</v>
      </c>
      <c r="G12" s="250">
        <v>5</v>
      </c>
      <c r="H12" s="250">
        <v>6</v>
      </c>
      <c r="I12" s="250">
        <v>7</v>
      </c>
      <c r="J12" s="250">
        <v>8</v>
      </c>
      <c r="K12" s="250">
        <v>9</v>
      </c>
      <c r="L12" s="250">
        <v>10</v>
      </c>
      <c r="M12" s="250">
        <v>11</v>
      </c>
      <c r="N12" s="250">
        <v>12</v>
      </c>
      <c r="O12" s="45"/>
      <c r="Q12" s="261"/>
      <c r="R12" s="262"/>
      <c r="S12" s="262"/>
      <c r="T12" s="262"/>
      <c r="U12" s="268"/>
    </row>
    <row r="13" spans="2:21" ht="14.25" customHeight="1" thickBot="1">
      <c r="B13" s="45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45"/>
      <c r="Q13" s="263"/>
      <c r="R13" s="264"/>
      <c r="S13" s="264"/>
      <c r="T13" s="264"/>
      <c r="U13" s="269"/>
    </row>
    <row r="14" spans="2:15" ht="14.25" customHeight="1" thickTop="1">
      <c r="B14" s="46"/>
      <c r="C14" s="43">
        <f>12-((C22&gt;D22)+(C22&gt;E22)+(C22&gt;F22)+(C22&gt;G22)+(C22&gt;H22)+(C22&gt;I22)+(C22&gt;J22)+(C22&gt;K22)+(C22&gt;L22)+(C22&gt;M22)+(C22&gt;N22))</f>
        <v>1</v>
      </c>
      <c r="D14" s="43">
        <f>12-((D22&gt;C22)+(D22&gt;E22)+(D22&gt;F22)+(D22&gt;G22)+(D22&gt;H22)+(D22&gt;I22)+(D22&gt;J22)+(D22&gt;K22)+(D22&gt;L22)+(D22&gt;M22)+(D22&gt;N22))</f>
        <v>5</v>
      </c>
      <c r="E14" s="43">
        <f>12-((E22&gt;C22)+(E22&gt;D22)+(E22&gt;F22)+(E22&gt;G22)+(E22&gt;H22)+(E22&gt;I22)+(E22&gt;J22)+(E22&gt;K22)+(E22&gt;L22)+(E22&gt;M22)+(E22&gt;N22))</f>
        <v>4</v>
      </c>
      <c r="F14" s="43">
        <f>12-((F22&gt;C22)+(F22&gt;D22)+(F22&gt;E22)+(F22&gt;G22)+(F22&gt;H22)+(F22&gt;I22)+(F22&gt;J22)+(F22&gt;K22)+(F22&gt;L22)+(F22&gt;M22)+(F22&gt;N22))</f>
        <v>9</v>
      </c>
      <c r="G14" s="43">
        <f>12-((G22&gt;C22)+(G22&gt;D22)+(G22&gt;E22)+(G22&gt;F22)+(G22&gt;H22)+(G22&gt;I22)+(G22&gt;J22)+(G22&gt;K22)+(G22&gt;L22)+(G22&gt;M22)+(G22&gt;N22))</f>
        <v>7</v>
      </c>
      <c r="H14" s="43">
        <f>12-((H22&gt;C22)+(H22&gt;D22)+(H22&gt;E22)+(H22&gt;F22)+(H22&gt;G22)+(H22&gt;I22)+(H22&gt;J22)+(H22&gt;K22)+(H22&gt;L22)+(H22&gt;M22)+(H22&gt;N22))</f>
        <v>12</v>
      </c>
      <c r="I14" s="43">
        <f>12-((I22&gt;C22)+(I22&gt;D22)+(I22&gt;E22)+(I22&gt;F22)+(I22&gt;G22)+(I22&gt;H22)+(I22&gt;J22)+(I22&gt;K22)+(I22&gt;L22)+(I22&gt;M22)+(I22&gt;N22))</f>
        <v>4</v>
      </c>
      <c r="J14" s="43">
        <f>12-((J22&gt;C22)+(J22&gt;D22)+(J22&gt;E22)+(J22&gt;F22)+(J22&gt;G22)+(J22&gt;H22)+(J22&gt;I22)+(J22&gt;K22)+(J22&gt;L22)+(J22&gt;M22)+(J22&gt;N22))</f>
        <v>10</v>
      </c>
      <c r="K14" s="43">
        <f>12-((K22&gt;C22)+(K22&gt;D22)+(K22&gt;E22)+(K22&gt;F22)+(K22&gt;G22)+(K22&gt;H22)+(K22&gt;I22)+(K22&gt;J22)+(K22&gt;L22)+(K22&gt;M22)+(K22&gt;N22))</f>
        <v>11</v>
      </c>
      <c r="L14" s="43">
        <f>12-((L22&gt;C22)+(L22&gt;D22)+(L22&gt;E22)+(L22&gt;F22)+(L22&gt;G22)+(L22&gt;H22)+(L22&gt;I22)+(L22&gt;J22)+(L22&gt;K22)+(L22&gt;M22)+(L22&gt;N22))</f>
        <v>2</v>
      </c>
      <c r="M14" s="43">
        <f>12-((M22&gt;C22)+(M22&gt;D22)+(M22&gt;E22)+(M22&gt;F22)+(M22&gt;G22)+(M22&gt;H22)+(M22&gt;I22)+(M22&gt;J22)+(M22&gt;K22)+(M22&gt;L22)+(M22&gt;N22))</f>
        <v>8</v>
      </c>
      <c r="N14" s="43">
        <f>12-((N22&gt;C22)+(N22&gt;D22)+(N22&gt;E22)+(N22&gt;F22)+(N22&gt;G22)+(N22&gt;H22)+(N22&gt;I22)+(N22&gt;J22)+(N22&gt;K22)+(N22&gt;L22)+(N22&gt;M22))</f>
        <v>6</v>
      </c>
      <c r="O14" s="46"/>
    </row>
    <row r="15" spans="2:21" ht="110.25" customHeight="1">
      <c r="B15" s="33" t="s">
        <v>2</v>
      </c>
      <c r="C15" s="6" t="s">
        <v>88</v>
      </c>
      <c r="D15" s="6" t="s">
        <v>89</v>
      </c>
      <c r="E15" s="6" t="s">
        <v>90</v>
      </c>
      <c r="F15" s="6" t="s">
        <v>91</v>
      </c>
      <c r="G15" s="6" t="s">
        <v>92</v>
      </c>
      <c r="H15" s="6" t="s">
        <v>93</v>
      </c>
      <c r="I15" s="6" t="s">
        <v>94</v>
      </c>
      <c r="J15" s="6" t="s">
        <v>95</v>
      </c>
      <c r="K15" s="6" t="s">
        <v>96</v>
      </c>
      <c r="L15" s="6" t="s">
        <v>97</v>
      </c>
      <c r="M15" s="6" t="s">
        <v>98</v>
      </c>
      <c r="N15" s="3" t="s">
        <v>105</v>
      </c>
      <c r="O15" s="34" t="s">
        <v>1</v>
      </c>
      <c r="Q15" s="252" t="s">
        <v>21</v>
      </c>
      <c r="R15" s="275"/>
      <c r="S15" s="275"/>
      <c r="T15" s="276"/>
      <c r="U15" s="59" t="s">
        <v>25</v>
      </c>
    </row>
    <row r="16" spans="2:21" ht="14.25" customHeight="1">
      <c r="B16" s="61">
        <v>1</v>
      </c>
      <c r="C16" s="62">
        <v>44</v>
      </c>
      <c r="D16" s="62">
        <v>43</v>
      </c>
      <c r="E16" s="62">
        <v>34</v>
      </c>
      <c r="F16" s="62">
        <v>5</v>
      </c>
      <c r="G16" s="62">
        <v>12</v>
      </c>
      <c r="H16" s="62">
        <v>11</v>
      </c>
      <c r="I16" s="62">
        <v>31</v>
      </c>
      <c r="J16" s="62">
        <v>11</v>
      </c>
      <c r="K16" s="62">
        <v>16</v>
      </c>
      <c r="L16" s="62">
        <v>33</v>
      </c>
      <c r="M16" s="62">
        <v>13</v>
      </c>
      <c r="N16" s="63">
        <v>34</v>
      </c>
      <c r="O16" s="75">
        <f aca="true" t="shared" si="0" ref="O16:O21">SUM(C16:N16)</f>
        <v>287</v>
      </c>
      <c r="Q16" s="36" t="str">
        <f>IF(R16&gt;0,"1")</f>
        <v>1</v>
      </c>
      <c r="R16" s="47" t="str">
        <f>IF(ISNA(HLOOKUP(1,C14:N27,2,FALSE)),"",HLOOKUP(1,C14:N16,2,FALSE))</f>
        <v>VITO PERRONE</v>
      </c>
      <c r="S16" s="48"/>
      <c r="T16" s="49"/>
      <c r="U16" s="122" t="str">
        <f>IF(C14=1,C23,IF(D14=1,D23,IF(E14=1,E23,IF(F14=1,F23,IF(G14=1,G23,IF(H14=1,H23,IF(I14=1,I23,IF(J14=1,J23,))))))))&amp;IF(K14=1,K23,IF(L14=1,L23,IF(M14=1,M23,IF(N14=1,N23,""))))</f>
        <v>1249</v>
      </c>
    </row>
    <row r="17" spans="2:21" ht="14.25" customHeight="1">
      <c r="B17" s="64">
        <v>2</v>
      </c>
      <c r="C17" s="65">
        <v>40</v>
      </c>
      <c r="D17" s="65">
        <v>12</v>
      </c>
      <c r="E17" s="65">
        <v>34</v>
      </c>
      <c r="F17" s="65">
        <v>16</v>
      </c>
      <c r="G17" s="65">
        <v>34</v>
      </c>
      <c r="H17" s="65">
        <v>2</v>
      </c>
      <c r="I17" s="65">
        <v>32</v>
      </c>
      <c r="J17" s="65">
        <v>6</v>
      </c>
      <c r="K17" s="65">
        <v>5</v>
      </c>
      <c r="L17" s="65">
        <v>28</v>
      </c>
      <c r="M17" s="65">
        <v>16</v>
      </c>
      <c r="N17" s="66">
        <v>9</v>
      </c>
      <c r="O17" s="76">
        <f t="shared" si="0"/>
        <v>234</v>
      </c>
      <c r="Q17" s="37" t="str">
        <f>IF(R17&gt;0,"2")</f>
        <v>2</v>
      </c>
      <c r="R17" s="50" t="str">
        <f>IF(ISNA(HLOOKUP(2,C14:N16,2,FALSE)),"",HLOOKUP(2,C14:N16,2,FALSE))</f>
        <v>MONICA MARRA</v>
      </c>
      <c r="S17" s="51"/>
      <c r="T17" s="52"/>
      <c r="U17" s="123" t="str">
        <f>IF(C14=2,C23,IF(D14=2,D23,IF(E14=2,E23,IF(F14=2,F23,IF(G14=2,G23,IF(H14=2,H23,IF(I14=2,I23,IF(J14=2,J23,))))))))&amp;IF(K14=2,K23,IF(L14=2,L23,IF(M14=2,M23,IF(N14=2,N23,""))))</f>
        <v>1160</v>
      </c>
    </row>
    <row r="18" spans="2:21" ht="14.25" customHeight="1">
      <c r="B18" s="64">
        <v>3</v>
      </c>
      <c r="C18" s="65">
        <v>44</v>
      </c>
      <c r="D18" s="65">
        <v>17</v>
      </c>
      <c r="E18" s="65">
        <v>19</v>
      </c>
      <c r="F18" s="65">
        <v>7</v>
      </c>
      <c r="G18" s="65">
        <v>14</v>
      </c>
      <c r="H18" s="65">
        <v>6</v>
      </c>
      <c r="I18" s="65">
        <v>26</v>
      </c>
      <c r="J18" s="65">
        <v>14</v>
      </c>
      <c r="K18" s="65">
        <v>6</v>
      </c>
      <c r="L18" s="65">
        <v>33</v>
      </c>
      <c r="M18" s="65">
        <v>11</v>
      </c>
      <c r="N18" s="66">
        <v>13</v>
      </c>
      <c r="O18" s="76">
        <f t="shared" si="0"/>
        <v>210</v>
      </c>
      <c r="Q18" s="37" t="str">
        <f>IF(R18&gt;0,"3")</f>
        <v>3</v>
      </c>
      <c r="R18" s="50" t="s">
        <v>94</v>
      </c>
      <c r="S18" s="51"/>
      <c r="T18" s="52"/>
      <c r="U18" s="124">
        <v>1132</v>
      </c>
    </row>
    <row r="19" spans="2:21" ht="14.25" customHeight="1">
      <c r="B19" s="64">
        <v>4</v>
      </c>
      <c r="C19" s="65">
        <v>62</v>
      </c>
      <c r="D19" s="65">
        <v>37</v>
      </c>
      <c r="E19" s="65">
        <v>34</v>
      </c>
      <c r="F19" s="65">
        <v>14</v>
      </c>
      <c r="G19" s="65">
        <v>9</v>
      </c>
      <c r="H19" s="65">
        <v>13</v>
      </c>
      <c r="I19" s="65">
        <v>10</v>
      </c>
      <c r="J19" s="65">
        <v>6</v>
      </c>
      <c r="K19" s="65">
        <v>2</v>
      </c>
      <c r="L19" s="65">
        <v>38</v>
      </c>
      <c r="M19" s="65">
        <v>9</v>
      </c>
      <c r="N19" s="66">
        <v>37</v>
      </c>
      <c r="O19" s="76">
        <f t="shared" si="0"/>
        <v>271</v>
      </c>
      <c r="Q19" s="37" t="str">
        <f>IF(R19&gt;0,"4")</f>
        <v>4</v>
      </c>
      <c r="R19" s="50" t="str">
        <f>IF(ISNA(HLOOKUP(4,C14:N16,2,FALSE)),"",HLOOKUP(4,C14:N16,2,FALSE))</f>
        <v>ANGELICA DE SIMONE</v>
      </c>
      <c r="S19" s="51"/>
      <c r="T19" s="52"/>
      <c r="U19" s="124" t="str">
        <f>IF(C14=4,C23,IF(D14=4,D23,IF(E14=4,E23,IF(F14=4,F23,IF(G14=4,G23,IF(H14=4,H23,IF(I14=4,I23,IF(J14=4,J23,))))))))&amp;IF(K14=4,K23,IF(L14=4,L23,IF(M14=4,M23,IF(N14=4,N23,""))))</f>
        <v>1132</v>
      </c>
    </row>
    <row r="20" spans="2:21" ht="14.25" customHeight="1">
      <c r="B20" s="64">
        <v>5</v>
      </c>
      <c r="C20" s="65">
        <v>42</v>
      </c>
      <c r="D20" s="65">
        <v>21</v>
      </c>
      <c r="E20" s="65">
        <v>20</v>
      </c>
      <c r="F20" s="65">
        <v>21</v>
      </c>
      <c r="G20" s="65">
        <v>5</v>
      </c>
      <c r="H20" s="65">
        <v>3</v>
      </c>
      <c r="I20" s="65">
        <v>28</v>
      </c>
      <c r="J20" s="65">
        <v>11</v>
      </c>
      <c r="K20" s="65">
        <v>8</v>
      </c>
      <c r="L20" s="65">
        <v>32</v>
      </c>
      <c r="M20" s="65">
        <v>11</v>
      </c>
      <c r="N20" s="66">
        <v>19</v>
      </c>
      <c r="O20" s="76">
        <f t="shared" si="0"/>
        <v>221</v>
      </c>
      <c r="Q20" s="37" t="str">
        <f>IF(R20&gt;0,"5")</f>
        <v>5</v>
      </c>
      <c r="R20" s="50" t="str">
        <f>IF(ISNA(HLOOKUP(5,C14:N16,2,FALSE)),"",HLOOKUP(5,C14:N16,2,FALSE))</f>
        <v>GIUSEPPE CASTELLANA</v>
      </c>
      <c r="S20" s="51"/>
      <c r="T20" s="52"/>
      <c r="U20" s="124" t="str">
        <f>IF(C14=5,C23,IF(D14=5,D23,IF(E14=5,E23,IF(F14=5,F23,IF(G14=5,G23,IF(H14=5,H23,IF(I14=5,I23,IF(J14=5,J23,))))))))&amp;IF(K14=5,K23,IF(L14=5,L23,IF(M14=5,M23,IF(N14=5,N23,""))))</f>
        <v>1125</v>
      </c>
    </row>
    <row r="21" spans="2:21" ht="14.25" customHeight="1">
      <c r="B21" s="67">
        <v>6</v>
      </c>
      <c r="C21" s="68">
        <v>50</v>
      </c>
      <c r="D21" s="68">
        <v>28</v>
      </c>
      <c r="E21" s="68">
        <v>24</v>
      </c>
      <c r="F21" s="68">
        <v>7</v>
      </c>
      <c r="G21" s="68">
        <v>11</v>
      </c>
      <c r="H21" s="68">
        <v>2</v>
      </c>
      <c r="I21" s="68">
        <v>38</v>
      </c>
      <c r="J21" s="68">
        <v>11</v>
      </c>
      <c r="K21" s="68">
        <v>7</v>
      </c>
      <c r="L21" s="68">
        <v>29</v>
      </c>
      <c r="M21" s="68">
        <v>12</v>
      </c>
      <c r="N21" s="69">
        <v>14</v>
      </c>
      <c r="O21" s="77">
        <f t="shared" si="0"/>
        <v>233</v>
      </c>
      <c r="Q21" s="37" t="str">
        <f>IF(R21&gt;0,"6")</f>
        <v>6</v>
      </c>
      <c r="R21" s="50" t="str">
        <f>IF(ISNA(HLOOKUP(6,C14:N16,2,FALSE)),"",HLOOKUP(6,C14:N16,2,FALSE))</f>
        <v>ANGELICA SCOLLATO</v>
      </c>
      <c r="S21" s="51"/>
      <c r="T21" s="52"/>
      <c r="U21" s="124" t="str">
        <f>IF(C14=6,C23,IF(D14=6,D23,IF(E14=6,E23,IF(F14=6,F23,IF(G14=6,G23,IF(H14=6,H23,IF(I14=6,I23,IF(J14=6,J23,))))))))&amp;IF(K14=6,K23,IF(L14=6,L23,IF(M14=6,M23,IF(N14=6,N23,""))))</f>
        <v>1093</v>
      </c>
    </row>
    <row r="22" spans="2:21" ht="14.25" customHeight="1">
      <c r="B22" s="70" t="s">
        <v>1</v>
      </c>
      <c r="C22" s="114">
        <f aca="true" t="shared" si="1" ref="C22:O22">SUM(C16:C21)</f>
        <v>282</v>
      </c>
      <c r="D22" s="114">
        <f t="shared" si="1"/>
        <v>158</v>
      </c>
      <c r="E22" s="114">
        <f t="shared" si="1"/>
        <v>165</v>
      </c>
      <c r="F22" s="114">
        <f t="shared" si="1"/>
        <v>70</v>
      </c>
      <c r="G22" s="114">
        <f t="shared" si="1"/>
        <v>85</v>
      </c>
      <c r="H22" s="114">
        <f t="shared" si="1"/>
        <v>37</v>
      </c>
      <c r="I22" s="114">
        <f t="shared" si="1"/>
        <v>165</v>
      </c>
      <c r="J22" s="114">
        <f t="shared" si="1"/>
        <v>59</v>
      </c>
      <c r="K22" s="114">
        <f t="shared" si="1"/>
        <v>44</v>
      </c>
      <c r="L22" s="114">
        <f t="shared" si="1"/>
        <v>193</v>
      </c>
      <c r="M22" s="114">
        <f t="shared" si="1"/>
        <v>72</v>
      </c>
      <c r="N22" s="115">
        <f t="shared" si="1"/>
        <v>126</v>
      </c>
      <c r="O22" s="78">
        <f t="shared" si="1"/>
        <v>1456</v>
      </c>
      <c r="Q22" s="37" t="str">
        <f>IF(R22&gt;0,"7")</f>
        <v>7</v>
      </c>
      <c r="R22" s="50" t="str">
        <f>IF(ISNA(HLOOKUP(7,C14:N16,2,FALSE)),"",HLOOKUP(7,C14:N16,2,FALSE))</f>
        <v>ORONZO GIANFREDA</v>
      </c>
      <c r="S22" s="51"/>
      <c r="T22" s="52"/>
      <c r="U22" s="124" t="str">
        <f>IF(C14=7,C23,IF(D14=7,D23,IF(E14=7,E23,IF(F14=7,F23,IF(G14=7,G23,IF(H14=7,H23,IF(I14=7,I23,IF(J14=7,J23,))))))))&amp;IF(K14=7,K23,IF(L14=7,L23,IF(M14=7,M23,IF(N14=7,N23,""))))</f>
        <v>1052</v>
      </c>
    </row>
    <row r="23" spans="2:21" ht="14.25" customHeight="1">
      <c r="B23" s="71" t="s">
        <v>24</v>
      </c>
      <c r="C23" s="116">
        <f>U11+C22</f>
        <v>1249</v>
      </c>
      <c r="D23" s="116">
        <f>U11+D22</f>
        <v>1125</v>
      </c>
      <c r="E23" s="116">
        <f>U11+E22</f>
        <v>1132</v>
      </c>
      <c r="F23" s="116">
        <f>U11+F22</f>
        <v>1037</v>
      </c>
      <c r="G23" s="116">
        <f>U11+G22</f>
        <v>1052</v>
      </c>
      <c r="H23" s="116">
        <f>U11+H22</f>
        <v>1004</v>
      </c>
      <c r="I23" s="116">
        <f>U11+I22</f>
        <v>1132</v>
      </c>
      <c r="J23" s="116">
        <f>U11+J22</f>
        <v>1026</v>
      </c>
      <c r="K23" s="116">
        <f>U11+K22</f>
        <v>1011</v>
      </c>
      <c r="L23" s="116">
        <f>U11+L22</f>
        <v>1160</v>
      </c>
      <c r="M23" s="116">
        <f>U11+M22</f>
        <v>1039</v>
      </c>
      <c r="N23" s="116">
        <f>U11+N22</f>
        <v>1093</v>
      </c>
      <c r="O23" s="79">
        <f>O22+U11</f>
        <v>2423</v>
      </c>
      <c r="Q23" s="37" t="str">
        <f>IF(R23&gt;0,"8")</f>
        <v>8</v>
      </c>
      <c r="R23" s="50" t="str">
        <f>IF(ISNA(HLOOKUP(8,C14:N16,2,FALSE)),"",HLOOKUP(8,C14:N16,2,FALSE))</f>
        <v>MASSIMILIANO PISCOPO</v>
      </c>
      <c r="S23" s="51"/>
      <c r="T23" s="52"/>
      <c r="U23" s="124" t="str">
        <f>IF(C14=8,C23,IF(D14=8,D23,IF(E14=8,E23,IF(F14=8,F23,IF(G14=8,G23,IF(H14=8,H23,IF(I14=8,I23,IF(J14=8,J23,))))))))&amp;IF(K14=8,K23,IF(L14=8,L23,IF(M14=8,M23,IF(N14=8,N23,""))))</f>
        <v>1039</v>
      </c>
    </row>
    <row r="24" spans="2:21" ht="14.25" customHeight="1">
      <c r="B24" s="72"/>
      <c r="C24" s="94">
        <f>IF(C23&gt;U11*2,"ERRORE","")</f>
      </c>
      <c r="D24" s="94">
        <f>IF(D23&gt;U11*2,"ERRORE","")</f>
      </c>
      <c r="E24" s="94">
        <f>IF(E23&gt;U11*2,"ERRORE","")</f>
      </c>
      <c r="F24" s="94">
        <f>IF(F23&gt;U11*2,"ERRORE","")</f>
      </c>
      <c r="G24" s="94">
        <f>IF(G23&gt;U11*2,"ERRORE","")</f>
      </c>
      <c r="H24" s="94">
        <f>IF(H23&gt;U11*2,"ERRORE","")</f>
      </c>
      <c r="I24" s="94">
        <f>IF(I23&gt;U11*2,"ERRORE","")</f>
      </c>
      <c r="J24" s="94">
        <f>IF(J23&gt;U11*2,"ERRORE","")</f>
      </c>
      <c r="K24" s="94">
        <f>IF(K23&gt;U11*2,"ERRORE","")</f>
      </c>
      <c r="L24" s="94">
        <f>IF(L23&gt;U11*2,"ERRORE","")</f>
      </c>
      <c r="M24" s="94">
        <f>IF(M23&gt;U11*2,"ERRORE","")</f>
      </c>
      <c r="N24" s="94">
        <f>IF(N23&gt;U11*2,"ERRORE","")</f>
      </c>
      <c r="O24" s="94"/>
      <c r="Q24" s="38" t="str">
        <f>IF(R24&gt;0,"9")</f>
        <v>9</v>
      </c>
      <c r="R24" s="98" t="str">
        <f>IF(ISNA(HLOOKUP(9,C14:N16,2,FALSE)),"",HLOOKUP(9,C14:N16,2,FALSE))</f>
        <v>PASQUALE DE SIMONE</v>
      </c>
      <c r="S24" s="53"/>
      <c r="T24" s="54"/>
      <c r="U24" s="124" t="str">
        <f>IF(C14=9,C23,IF(D14=9,D23,IF(E14=9,E23,IF(F14=9,F23,IF(G14=9,G23,IF(H14=9,H23,IF(I14=9,I23,IF(J14=9,J23,))))))))&amp;IF(K14=9,K23,IF(L14=9,L23,IF(M14=9,M23,IF(N14=9,N23,""))))</f>
        <v>1037</v>
      </c>
    </row>
    <row r="25" spans="17:21" ht="12.75" customHeight="1">
      <c r="Q25" s="38" t="str">
        <f>IF(R25&gt;0,"10")</f>
        <v>10</v>
      </c>
      <c r="R25" s="98" t="str">
        <f>IF(ISNA(HLOOKUP(10,C14:N16,2,FALSE)),"",HLOOKUP(10,C14:N16,2,FALSE))</f>
        <v>FEDERICO MALERBA</v>
      </c>
      <c r="S25" s="53"/>
      <c r="T25" s="54"/>
      <c r="U25" s="124" t="str">
        <f>IF(C14=10,C23,IF(D14=10,D23,IF(E14=10,E23,IF(F14=10,F23,IF(G14=10,G23,IF(H14=10,H23,IF(I14=10,I23,IF(J14=10,J23,))))))))&amp;IF(K14=10,K23,IF(L14=10,L23,IF(M14=10,M23,IF(N14=10,N23,""))))</f>
        <v>1026</v>
      </c>
    </row>
    <row r="26" spans="2:21" ht="12.75" customHeight="1">
      <c r="B26" s="243" t="s">
        <v>87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5"/>
      <c r="P26" s="113"/>
      <c r="Q26" s="38" t="str">
        <f>IF(R26&gt;0,"11")</f>
        <v>11</v>
      </c>
      <c r="R26" s="98" t="str">
        <f>IF(ISNA(HLOOKUP(11,C14:N16,2,FALSE)),"",HLOOKUP(11,C14:N16,2,FALSE))</f>
        <v>FABIO MARRA</v>
      </c>
      <c r="S26" s="53"/>
      <c r="T26" s="54"/>
      <c r="U26" s="124" t="str">
        <f>IF(C14=11,C23,IF(D14=11,D23,IF(E14=11,E23,IF(F14=11,F23,IF(G14=11,G23,IF(H14=11,H23,IF(I14=11,I23,IF(J14=11,J23,))))))))&amp;IF(K14=11,K23,IF(L14=11,L23,IF(M14=11,M23,IF(N14=11,N23,""))))</f>
        <v>1011</v>
      </c>
    </row>
    <row r="27" spans="2:2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8"/>
      <c r="P27" s="113"/>
      <c r="Q27" s="39" t="str">
        <f>IF(R27&gt;0,"12")</f>
        <v>12</v>
      </c>
      <c r="R27" s="99" t="str">
        <f>IF(ISNA(HLOOKUP(12,C14:N16,2,FALSE)),"",HLOOKUP(12,C14:N16,2,FALSE))</f>
        <v>FRANCESCO GIURI</v>
      </c>
      <c r="S27" s="55"/>
      <c r="T27" s="56"/>
      <c r="U27" s="125" t="str">
        <f>IF(C14=12,C23,IF(D14=12,D23,IF(E14=12,E23,IF(F14=12,F23,IF(G14=12,G23,IF(H14=12,H23,IF(I14=12,I23,IF(J14=12,J23,))))))))&amp;IF(K14=12,K23,IF(L14=12,L23,IF(M14=12,M23,IF(N14=12,N23,""))))</f>
        <v>1004</v>
      </c>
    </row>
  </sheetData>
  <sheetProtection/>
  <mergeCells count="22">
    <mergeCell ref="J1:O1"/>
    <mergeCell ref="J2:O2"/>
    <mergeCell ref="J4:O4"/>
    <mergeCell ref="B6:T7"/>
    <mergeCell ref="B9:T9"/>
    <mergeCell ref="C11:N11"/>
    <mergeCell ref="U11:U13"/>
    <mergeCell ref="C12:C13"/>
    <mergeCell ref="D12:D13"/>
    <mergeCell ref="E12:E13"/>
    <mergeCell ref="F12:F13"/>
    <mergeCell ref="G12:G13"/>
    <mergeCell ref="M12:M13"/>
    <mergeCell ref="N12:N13"/>
    <mergeCell ref="J12:J13"/>
    <mergeCell ref="K12:K13"/>
    <mergeCell ref="H12:H13"/>
    <mergeCell ref="I12:I13"/>
    <mergeCell ref="Q11:T13"/>
    <mergeCell ref="L12:L13"/>
    <mergeCell ref="Q15:T15"/>
    <mergeCell ref="B26:O27"/>
  </mergeCells>
  <conditionalFormatting sqref="R16:R23 R3 R10">
    <cfRule type="cellIs" priority="2" dxfId="2" operator="notEqual" stopIfTrue="1">
      <formula>0</formula>
    </cfRule>
  </conditionalFormatting>
  <conditionalFormatting sqref="R24:R26">
    <cfRule type="cellIs" priority="3" dxfId="1" operator="greaterThan" stopIfTrue="1">
      <formula>8</formula>
    </cfRule>
  </conditionalFormatting>
  <conditionalFormatting sqref="C24:O24">
    <cfRule type="cellIs" priority="1" dxfId="0" operator="equal" stopIfTrue="1">
      <formula>"ERRORE"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Collepasso</dc:creator>
  <cp:keywords/>
  <dc:description/>
  <cp:lastModifiedBy>Utente</cp:lastModifiedBy>
  <cp:lastPrinted>2016-06-06T08:38:00Z</cp:lastPrinted>
  <dcterms:created xsi:type="dcterms:W3CDTF">1999-06-13T20:14:18Z</dcterms:created>
  <dcterms:modified xsi:type="dcterms:W3CDTF">2016-06-06T09:52:54Z</dcterms:modified>
  <cp:category/>
  <cp:version/>
  <cp:contentType/>
  <cp:contentStatus/>
</cp:coreProperties>
</file>